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T:\Marchés Publics\2025\F_M18_2025_Travaux couverture AMI\01 DCE\Vdef\Pièces écrites\"/>
    </mc:Choice>
  </mc:AlternateContent>
  <xr:revisionPtr revIDLastSave="0" documentId="13_ncr:1_{27CA2294-5CA9-44DC-900F-61F6857CE81B}" xr6:coauthVersionLast="47" xr6:coauthVersionMax="47" xr10:uidLastSave="{00000000-0000-0000-0000-000000000000}"/>
  <bookViews>
    <workbookView xWindow="-28920" yWindow="0" windowWidth="29040" windowHeight="15720" xr2:uid="{38D9DA66-76F1-460C-9DAE-86068562A5DA}"/>
  </bookViews>
  <sheets>
    <sheet name="PDG" sheetId="9" r:id="rId1"/>
    <sheet name="Couverture" sheetId="4" r:id="rId2"/>
  </sheets>
  <definedNames>
    <definedName name="_xlnm.Print_Titles" localSheetId="1">Couverture!$1:$3</definedName>
    <definedName name="_xlnm.Print_Area" localSheetId="1">Couverture!$A$1:$N$906</definedName>
    <definedName name="_xlnm.Print_Area" localSheetId="0">PDG!$A$1:$L$25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01" i="4" l="1"/>
  <c r="N302" i="4"/>
  <c r="N303" i="4"/>
  <c r="N304" i="4"/>
  <c r="N305" i="4"/>
  <c r="N306" i="4"/>
  <c r="N307" i="4"/>
  <c r="N308" i="4"/>
  <c r="N309" i="4"/>
  <c r="N310" i="4"/>
  <c r="N311" i="4"/>
  <c r="N312" i="4"/>
  <c r="N313" i="4"/>
  <c r="N314" i="4"/>
  <c r="N315" i="4"/>
  <c r="N316" i="4"/>
  <c r="N317" i="4"/>
  <c r="N318" i="4"/>
  <c r="N319" i="4"/>
  <c r="N320" i="4"/>
  <c r="N321" i="4"/>
  <c r="N322" i="4"/>
  <c r="N324" i="4"/>
  <c r="N325" i="4"/>
  <c r="N326" i="4"/>
  <c r="N327" i="4"/>
  <c r="N328" i="4"/>
  <c r="N329" i="4"/>
  <c r="N331" i="4"/>
  <c r="N332" i="4"/>
  <c r="N333" i="4"/>
  <c r="N334" i="4"/>
  <c r="N335" i="4"/>
  <c r="N336" i="4"/>
  <c r="N337" i="4"/>
  <c r="N338" i="4"/>
  <c r="N339" i="4"/>
  <c r="N341" i="4"/>
  <c r="N342" i="4"/>
  <c r="N343" i="4"/>
  <c r="N344" i="4"/>
  <c r="N345" i="4"/>
  <c r="N346" i="4"/>
  <c r="N347" i="4"/>
  <c r="N348" i="4"/>
  <c r="N349" i="4"/>
  <c r="N350" i="4"/>
  <c r="A837" i="4"/>
  <c r="A838" i="4"/>
  <c r="A839" i="4"/>
  <c r="A844" i="4"/>
  <c r="A845" i="4"/>
  <c r="A846" i="4"/>
  <c r="A351" i="4"/>
  <c r="A352" i="4"/>
  <c r="A353" i="4"/>
  <c r="A354" i="4"/>
  <c r="A355" i="4"/>
  <c r="A356" i="4"/>
  <c r="A357" i="4"/>
  <c r="A358" i="4"/>
  <c r="A359" i="4"/>
  <c r="A363" i="4"/>
  <c r="A364" i="4"/>
  <c r="A366" i="4"/>
  <c r="A367" i="4"/>
  <c r="A368" i="4"/>
  <c r="A369" i="4"/>
  <c r="A370" i="4"/>
  <c r="A371" i="4"/>
  <c r="A372" i="4"/>
  <c r="A373" i="4"/>
  <c r="N362" i="4"/>
  <c r="N363" i="4"/>
  <c r="N361" i="4"/>
  <c r="N360" i="4"/>
  <c r="N358" i="4"/>
  <c r="A858" i="4"/>
  <c r="A859" i="4"/>
  <c r="A860" i="4"/>
  <c r="A863" i="4"/>
  <c r="A864" i="4"/>
  <c r="A866" i="4"/>
  <c r="A867" i="4"/>
  <c r="A868" i="4"/>
  <c r="A869" i="4"/>
  <c r="A870" i="4"/>
  <c r="A872" i="4"/>
  <c r="A873" i="4"/>
  <c r="A874" i="4"/>
  <c r="A875" i="4"/>
  <c r="N862" i="4"/>
  <c r="N861" i="4"/>
  <c r="N844" i="4" l="1"/>
  <c r="N843" i="4"/>
  <c r="N842" i="4"/>
  <c r="N841" i="4"/>
  <c r="N840" i="4"/>
  <c r="N839" i="4"/>
  <c r="N838" i="4"/>
  <c r="A299" i="4"/>
  <c r="A300" i="4"/>
  <c r="A301" i="4"/>
  <c r="A304" i="4"/>
  <c r="A305" i="4"/>
  <c r="A306" i="4"/>
  <c r="N299" i="4"/>
  <c r="N300" i="4"/>
  <c r="A888" i="4" l="1"/>
  <c r="A889" i="4"/>
  <c r="A892" i="4"/>
  <c r="A896" i="4"/>
  <c r="A897" i="4"/>
  <c r="A900" i="4"/>
  <c r="A759" i="4"/>
  <c r="A760" i="4"/>
  <c r="A761" i="4"/>
  <c r="A762" i="4"/>
  <c r="A763" i="4"/>
  <c r="A766" i="4"/>
  <c r="A767" i="4"/>
  <c r="A768" i="4"/>
  <c r="A770" i="4"/>
  <c r="A771" i="4"/>
  <c r="A772" i="4"/>
  <c r="A773" i="4"/>
  <c r="A774" i="4"/>
  <c r="A775" i="4"/>
  <c r="A776" i="4"/>
  <c r="A778" i="4"/>
  <c r="A779" i="4"/>
  <c r="A780" i="4"/>
  <c r="A781" i="4"/>
  <c r="A782" i="4"/>
  <c r="A783" i="4"/>
  <c r="A785" i="4"/>
  <c r="A786" i="4"/>
  <c r="A787" i="4"/>
  <c r="A788" i="4"/>
  <c r="A789" i="4"/>
  <c r="A790" i="4"/>
  <c r="A792" i="4"/>
  <c r="A793" i="4"/>
  <c r="A794" i="4"/>
  <c r="A795" i="4"/>
  <c r="A796" i="4"/>
  <c r="A797" i="4"/>
  <c r="A798" i="4"/>
  <c r="A799" i="4"/>
  <c r="A800" i="4"/>
  <c r="A801" i="4"/>
  <c r="A802" i="4"/>
  <c r="A803" i="4"/>
  <c r="A804" i="4"/>
  <c r="A805" i="4"/>
  <c r="A807" i="4"/>
  <c r="A808" i="4"/>
  <c r="A809" i="4"/>
  <c r="A810" i="4"/>
  <c r="A811" i="4"/>
  <c r="A812" i="4"/>
  <c r="A813" i="4"/>
  <c r="A814" i="4"/>
  <c r="A815" i="4"/>
  <c r="A816" i="4"/>
  <c r="A817" i="4"/>
  <c r="A818" i="4"/>
  <c r="A819" i="4"/>
  <c r="A820" i="4"/>
  <c r="A822" i="4"/>
  <c r="A824" i="4"/>
  <c r="A825" i="4"/>
  <c r="A826" i="4"/>
  <c r="A827" i="4"/>
  <c r="A830" i="4"/>
  <c r="A831" i="4"/>
  <c r="A832" i="4"/>
  <c r="A849" i="4"/>
  <c r="A850" i="4"/>
  <c r="A851" i="4"/>
  <c r="A852" i="4"/>
  <c r="A855" i="4"/>
  <c r="A856" i="4"/>
  <c r="A878" i="4"/>
  <c r="A879" i="4"/>
  <c r="A880" i="4"/>
  <c r="A885" i="4"/>
  <c r="A886" i="4"/>
  <c r="A669" i="4"/>
  <c r="A670" i="4"/>
  <c r="A671" i="4"/>
  <c r="A672" i="4"/>
  <c r="A673" i="4"/>
  <c r="A674" i="4"/>
  <c r="A675" i="4"/>
  <c r="A676" i="4"/>
  <c r="A677" i="4"/>
  <c r="A678" i="4"/>
  <c r="A679" i="4"/>
  <c r="A680" i="4"/>
  <c r="A681" i="4"/>
  <c r="A682" i="4"/>
  <c r="A683" i="4"/>
  <c r="A684" i="4"/>
  <c r="A685" i="4"/>
  <c r="A686" i="4"/>
  <c r="A687" i="4"/>
  <c r="A688" i="4"/>
  <c r="A689" i="4"/>
  <c r="A690" i="4"/>
  <c r="A691" i="4"/>
  <c r="A692" i="4"/>
  <c r="A693" i="4"/>
  <c r="A694" i="4"/>
  <c r="A695" i="4"/>
  <c r="A696" i="4"/>
  <c r="A698" i="4"/>
  <c r="A699" i="4"/>
  <c r="A700" i="4"/>
  <c r="A702" i="4"/>
  <c r="A703" i="4"/>
  <c r="A704" i="4"/>
  <c r="A706" i="4"/>
  <c r="A708" i="4"/>
  <c r="A709" i="4"/>
  <c r="A710" i="4"/>
  <c r="A712" i="4"/>
  <c r="A713" i="4"/>
  <c r="A715" i="4"/>
  <c r="A716" i="4"/>
  <c r="A717" i="4"/>
  <c r="A718" i="4"/>
  <c r="A719" i="4"/>
  <c r="A720" i="4"/>
  <c r="A721" i="4"/>
  <c r="A722" i="4"/>
  <c r="A723" i="4"/>
  <c r="A727" i="4"/>
  <c r="A728" i="4"/>
  <c r="A730" i="4"/>
  <c r="A731" i="4"/>
  <c r="A733" i="4"/>
  <c r="A734" i="4"/>
  <c r="A735" i="4"/>
  <c r="A736" i="4"/>
  <c r="A738" i="4"/>
  <c r="A739" i="4"/>
  <c r="A740" i="4"/>
  <c r="A741" i="4"/>
  <c r="A742" i="4"/>
  <c r="A744" i="4"/>
  <c r="A745" i="4"/>
  <c r="A746" i="4"/>
  <c r="A747" i="4"/>
  <c r="A748" i="4"/>
  <c r="A750" i="4"/>
  <c r="A751" i="4"/>
  <c r="A753" i="4"/>
  <c r="A754" i="4"/>
  <c r="A755" i="4"/>
  <c r="A756" i="4"/>
  <c r="A757" i="4"/>
  <c r="A650" i="4"/>
  <c r="A655" i="4"/>
  <c r="A656" i="4"/>
  <c r="A657" i="4"/>
  <c r="A658" i="4"/>
  <c r="A661" i="4"/>
  <c r="A662" i="4"/>
  <c r="A663" i="4"/>
  <c r="A666" i="4"/>
  <c r="A667" i="4"/>
  <c r="A645" i="4"/>
  <c r="A475" i="4"/>
  <c r="A476" i="4"/>
  <c r="A478" i="4"/>
  <c r="A479" i="4"/>
  <c r="A481" i="4"/>
  <c r="A482" i="4"/>
  <c r="A483" i="4"/>
  <c r="A484" i="4"/>
  <c r="A485" i="4"/>
  <c r="A486" i="4"/>
  <c r="A487" i="4"/>
  <c r="A488" i="4"/>
  <c r="A492" i="4"/>
  <c r="A493" i="4"/>
  <c r="A495" i="4"/>
  <c r="A496" i="4"/>
  <c r="A498" i="4"/>
  <c r="A499" i="4"/>
  <c r="A500" i="4"/>
  <c r="A502" i="4"/>
  <c r="A503" i="4"/>
  <c r="A504" i="4"/>
  <c r="A505" i="4"/>
  <c r="A506" i="4"/>
  <c r="A508" i="4"/>
  <c r="A509" i="4"/>
  <c r="A511" i="4"/>
  <c r="A512" i="4"/>
  <c r="A514" i="4"/>
  <c r="A515" i="4"/>
  <c r="A517" i="4"/>
  <c r="A518" i="4"/>
  <c r="A519" i="4"/>
  <c r="A521" i="4"/>
  <c r="A522" i="4"/>
  <c r="A523" i="4"/>
  <c r="A525" i="4"/>
  <c r="A526" i="4"/>
  <c r="A527" i="4"/>
  <c r="A528" i="4"/>
  <c r="A530" i="4"/>
  <c r="A531" i="4"/>
  <c r="A532" i="4"/>
  <c r="A533" i="4"/>
  <c r="A534" i="4"/>
  <c r="A535" i="4"/>
  <c r="A537" i="4"/>
  <c r="A538" i="4"/>
  <c r="A539" i="4"/>
  <c r="A540" i="4"/>
  <c r="A541" i="4"/>
  <c r="A542" i="4"/>
  <c r="A543" i="4"/>
  <c r="A545" i="4"/>
  <c r="A546" i="4"/>
  <c r="A547" i="4"/>
  <c r="A548" i="4"/>
  <c r="A549" i="4"/>
  <c r="A550" i="4"/>
  <c r="A551" i="4"/>
  <c r="A552" i="4"/>
  <c r="A553" i="4"/>
  <c r="A554" i="4"/>
  <c r="A556" i="4"/>
  <c r="A557" i="4"/>
  <c r="A558" i="4"/>
  <c r="A559" i="4"/>
  <c r="A560" i="4"/>
  <c r="A561" i="4"/>
  <c r="A562" i="4"/>
  <c r="A563" i="4"/>
  <c r="A564" i="4"/>
  <c r="A565" i="4"/>
  <c r="A567" i="4"/>
  <c r="A569" i="4"/>
  <c r="A570" i="4"/>
  <c r="A571" i="4"/>
  <c r="A572" i="4"/>
  <c r="A578" i="4"/>
  <c r="A579" i="4"/>
  <c r="A580" i="4"/>
  <c r="A587" i="4"/>
  <c r="A588" i="4"/>
  <c r="A589" i="4"/>
  <c r="A592" i="4"/>
  <c r="A593" i="4"/>
  <c r="A594" i="4"/>
  <c r="A596" i="4"/>
  <c r="A597" i="4"/>
  <c r="A599" i="4"/>
  <c r="A600" i="4"/>
  <c r="A602" i="4"/>
  <c r="A603" i="4"/>
  <c r="A605" i="4"/>
  <c r="A606" i="4"/>
  <c r="A610" i="4"/>
  <c r="A611" i="4"/>
  <c r="A612" i="4"/>
  <c r="A617" i="4"/>
  <c r="A618" i="4"/>
  <c r="A620" i="4"/>
  <c r="A621" i="4"/>
  <c r="A626" i="4"/>
  <c r="A627" i="4"/>
  <c r="A630" i="4"/>
  <c r="A631" i="4"/>
  <c r="A632" i="4"/>
  <c r="A16" i="4"/>
  <c r="A21" i="4"/>
  <c r="A22" i="4"/>
  <c r="A23" i="4"/>
  <c r="A24" i="4"/>
  <c r="A27" i="4"/>
  <c r="A28" i="4"/>
  <c r="A29" i="4"/>
  <c r="A32" i="4"/>
  <c r="A33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5" i="4"/>
  <c r="A86" i="4"/>
  <c r="A87" i="4"/>
  <c r="A89" i="4"/>
  <c r="A90" i="4"/>
  <c r="A91" i="4"/>
  <c r="A92" i="4"/>
  <c r="A93" i="4"/>
  <c r="A94" i="4"/>
  <c r="A95" i="4"/>
  <c r="A99" i="4"/>
  <c r="A100" i="4"/>
  <c r="A101" i="4"/>
  <c r="A102" i="4"/>
  <c r="A103" i="4"/>
  <c r="A104" i="4"/>
  <c r="A107" i="4"/>
  <c r="A109" i="4"/>
  <c r="A110" i="4"/>
  <c r="A111" i="4"/>
  <c r="A112" i="4"/>
  <c r="A114" i="4"/>
  <c r="A115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1" i="4"/>
  <c r="A142" i="4"/>
  <c r="A143" i="4"/>
  <c r="A144" i="4"/>
  <c r="A145" i="4"/>
  <c r="A146" i="4"/>
  <c r="A149" i="4"/>
  <c r="A150" i="4"/>
  <c r="A152" i="4"/>
  <c r="A153" i="4"/>
  <c r="A155" i="4"/>
  <c r="A156" i="4"/>
  <c r="A157" i="4"/>
  <c r="A158" i="4"/>
  <c r="A159" i="4"/>
  <c r="A160" i="4"/>
  <c r="A161" i="4"/>
  <c r="A162" i="4"/>
  <c r="A164" i="4"/>
  <c r="A165" i="4"/>
  <c r="A166" i="4"/>
  <c r="A167" i="4"/>
  <c r="A169" i="4"/>
  <c r="A170" i="4"/>
  <c r="A171" i="4"/>
  <c r="A172" i="4"/>
  <c r="A173" i="4"/>
  <c r="A175" i="4"/>
  <c r="A176" i="4"/>
  <c r="A177" i="4"/>
  <c r="A178" i="4"/>
  <c r="A179" i="4"/>
  <c r="A180" i="4"/>
  <c r="A181" i="4"/>
  <c r="A182" i="4"/>
  <c r="A184" i="4"/>
  <c r="A185" i="4"/>
  <c r="A186" i="4"/>
  <c r="A187" i="4"/>
  <c r="A188" i="4"/>
  <c r="A189" i="4"/>
  <c r="A190" i="4"/>
  <c r="A191" i="4"/>
  <c r="A193" i="4"/>
  <c r="A194" i="4"/>
  <c r="A195" i="4"/>
  <c r="A196" i="4"/>
  <c r="A197" i="4"/>
  <c r="A198" i="4"/>
  <c r="A199" i="4"/>
  <c r="A200" i="4"/>
  <c r="A201" i="4"/>
  <c r="A203" i="4"/>
  <c r="A204" i="4"/>
  <c r="A205" i="4"/>
  <c r="A207" i="4"/>
  <c r="A208" i="4"/>
  <c r="A209" i="4"/>
  <c r="A210" i="4"/>
  <c r="A211" i="4"/>
  <c r="A212" i="4"/>
  <c r="A213" i="4"/>
  <c r="A214" i="4"/>
  <c r="A215" i="4"/>
  <c r="A216" i="4"/>
  <c r="A218" i="4"/>
  <c r="A219" i="4"/>
  <c r="A220" i="4"/>
  <c r="A221" i="4"/>
  <c r="A222" i="4"/>
  <c r="A223" i="4"/>
  <c r="A224" i="4"/>
  <c r="A225" i="4"/>
  <c r="A226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40" i="4"/>
  <c r="A241" i="4"/>
  <c r="A243" i="4"/>
  <c r="A244" i="4"/>
  <c r="A245" i="4"/>
  <c r="A246" i="4"/>
  <c r="A247" i="4"/>
  <c r="A248" i="4"/>
  <c r="A249" i="4"/>
  <c r="A250" i="4"/>
  <c r="A251" i="4"/>
  <c r="A252" i="4"/>
  <c r="A253" i="4"/>
  <c r="A254" i="4"/>
  <c r="A255" i="4"/>
  <c r="A256" i="4"/>
  <c r="A258" i="4"/>
  <c r="A259" i="4"/>
  <c r="A260" i="4"/>
  <c r="A261" i="4"/>
  <c r="A262" i="4"/>
  <c r="A263" i="4"/>
  <c r="A265" i="4"/>
  <c r="A266" i="4"/>
  <c r="A267" i="4"/>
  <c r="A268" i="4"/>
  <c r="A269" i="4"/>
  <c r="A270" i="4"/>
  <c r="A271" i="4"/>
  <c r="A272" i="4"/>
  <c r="A273" i="4"/>
  <c r="A276" i="4"/>
  <c r="A277" i="4"/>
  <c r="A278" i="4"/>
  <c r="A281" i="4"/>
  <c r="A282" i="4"/>
  <c r="A283" i="4"/>
  <c r="A320" i="4"/>
  <c r="A321" i="4"/>
  <c r="A322" i="4"/>
  <c r="A324" i="4"/>
  <c r="A325" i="4"/>
  <c r="A326" i="4"/>
  <c r="A327" i="4"/>
  <c r="A328" i="4"/>
  <c r="A329" i="4"/>
  <c r="A331" i="4"/>
  <c r="A332" i="4"/>
  <c r="A333" i="4"/>
  <c r="A334" i="4"/>
  <c r="A335" i="4"/>
  <c r="A336" i="4"/>
  <c r="A337" i="4"/>
  <c r="A338" i="4"/>
  <c r="A339" i="4"/>
  <c r="A341" i="4"/>
  <c r="A342" i="4"/>
  <c r="A343" i="4"/>
  <c r="A344" i="4"/>
  <c r="A345" i="4"/>
  <c r="A346" i="4"/>
  <c r="A348" i="4"/>
  <c r="A349" i="4"/>
  <c r="A375" i="4"/>
  <c r="A376" i="4"/>
  <c r="A377" i="4"/>
  <c r="A378" i="4"/>
  <c r="A379" i="4"/>
  <c r="A380" i="4"/>
  <c r="A382" i="4"/>
  <c r="A383" i="4"/>
  <c r="A384" i="4"/>
  <c r="A385" i="4"/>
  <c r="A386" i="4"/>
  <c r="A387" i="4"/>
  <c r="A389" i="4"/>
  <c r="A390" i="4"/>
  <c r="A391" i="4"/>
  <c r="A392" i="4"/>
  <c r="A393" i="4"/>
  <c r="A394" i="4"/>
  <c r="A395" i="4"/>
  <c r="A396" i="4"/>
  <c r="A397" i="4"/>
  <c r="A400" i="4"/>
  <c r="A401" i="4"/>
  <c r="A402" i="4"/>
  <c r="A403" i="4"/>
  <c r="A404" i="4"/>
  <c r="A405" i="4"/>
  <c r="A407" i="4"/>
  <c r="A408" i="4"/>
  <c r="A409" i="4"/>
  <c r="A410" i="4"/>
  <c r="A411" i="4"/>
  <c r="A412" i="4"/>
  <c r="A414" i="4"/>
  <c r="A415" i="4"/>
  <c r="A417" i="4"/>
  <c r="A418" i="4"/>
  <c r="A419" i="4"/>
  <c r="A420" i="4"/>
  <c r="A421" i="4"/>
  <c r="A422" i="4"/>
  <c r="A425" i="4"/>
  <c r="A426" i="4"/>
  <c r="A427" i="4"/>
  <c r="A428" i="4"/>
  <c r="A429" i="4"/>
  <c r="A430" i="4"/>
  <c r="A431" i="4"/>
  <c r="A432" i="4"/>
  <c r="A437" i="4"/>
  <c r="A442" i="4"/>
  <c r="A443" i="4"/>
  <c r="A444" i="4"/>
  <c r="A446" i="4"/>
  <c r="A447" i="4"/>
  <c r="A448" i="4"/>
  <c r="A449" i="4"/>
  <c r="A450" i="4"/>
  <c r="A451" i="4"/>
  <c r="A452" i="4"/>
  <c r="A453" i="4"/>
  <c r="A454" i="4"/>
  <c r="A455" i="4"/>
  <c r="A456" i="4"/>
  <c r="A457" i="4"/>
  <c r="A458" i="4"/>
  <c r="A459" i="4"/>
  <c r="A460" i="4"/>
  <c r="A461" i="4"/>
  <c r="A462" i="4"/>
  <c r="A463" i="4"/>
  <c r="A464" i="4"/>
  <c r="A465" i="4"/>
  <c r="A466" i="4"/>
  <c r="A467" i="4"/>
  <c r="A468" i="4"/>
  <c r="A469" i="4"/>
  <c r="A470" i="4"/>
  <c r="A472" i="4"/>
  <c r="A473" i="4"/>
  <c r="N280" i="4" l="1"/>
  <c r="N279" i="4"/>
  <c r="N278" i="4"/>
  <c r="N277" i="4"/>
  <c r="N14" i="4"/>
  <c r="I103" i="4"/>
  <c r="I198" i="4"/>
  <c r="N828" i="4" l="1"/>
  <c r="N730" i="4"/>
  <c r="N729" i="4"/>
  <c r="N728" i="4"/>
  <c r="N495" i="4"/>
  <c r="N494" i="4"/>
  <c r="N493" i="4"/>
  <c r="N149" i="4"/>
  <c r="N150" i="4"/>
  <c r="N151" i="4"/>
  <c r="N152" i="4"/>
  <c r="N153" i="4"/>
  <c r="N155" i="4"/>
  <c r="N156" i="4"/>
  <c r="N157" i="4"/>
  <c r="N158" i="4"/>
  <c r="N159" i="4"/>
  <c r="N160" i="4"/>
  <c r="I94" i="4" l="1"/>
  <c r="L31" i="4"/>
  <c r="N633" i="4" l="1"/>
  <c r="N901" i="4"/>
  <c r="N380" i="4" l="1"/>
  <c r="N378" i="4"/>
  <c r="N377" i="4"/>
  <c r="I377" i="4"/>
  <c r="N376" i="4"/>
  <c r="N375" i="4"/>
  <c r="I375" i="4"/>
  <c r="N387" i="4"/>
  <c r="I387" i="4"/>
  <c r="L381" i="4" s="1"/>
  <c r="N381" i="4" s="1"/>
  <c r="N385" i="4"/>
  <c r="N384" i="4"/>
  <c r="N383" i="4"/>
  <c r="N382" i="4"/>
  <c r="N394" i="4"/>
  <c r="I394" i="4"/>
  <c r="L388" i="4" s="1"/>
  <c r="N388" i="4" s="1"/>
  <c r="N392" i="4"/>
  <c r="N391" i="4"/>
  <c r="N390" i="4"/>
  <c r="N389" i="4"/>
  <c r="N371" i="4"/>
  <c r="N369" i="4"/>
  <c r="N368" i="4"/>
  <c r="I368" i="4"/>
  <c r="I371" i="4" s="1"/>
  <c r="N365" i="4" s="1"/>
  <c r="N367" i="4"/>
  <c r="N366" i="4"/>
  <c r="N373" i="4"/>
  <c r="N372" i="4"/>
  <c r="N877" i="4"/>
  <c r="N876" i="4"/>
  <c r="N870" i="4"/>
  <c r="N869" i="4"/>
  <c r="N863" i="4"/>
  <c r="N605" i="4"/>
  <c r="N606" i="4"/>
  <c r="N607" i="4"/>
  <c r="N609" i="4"/>
  <c r="N604" i="4"/>
  <c r="I380" i="4" l="1"/>
  <c r="N374" i="4"/>
  <c r="I356" i="4" l="1"/>
  <c r="N854" i="4"/>
  <c r="N853" i="4"/>
  <c r="I346" i="4"/>
  <c r="N849" i="4"/>
  <c r="N592" i="4"/>
  <c r="I329" i="4"/>
  <c r="I336" i="4"/>
  <c r="N591" i="4"/>
  <c r="N836" i="4"/>
  <c r="N834" i="4"/>
  <c r="N581" i="4"/>
  <c r="N573" i="4"/>
  <c r="N586" i="4"/>
  <c r="N582" i="4"/>
  <c r="N829" i="4"/>
  <c r="N827" i="4"/>
  <c r="N826" i="4"/>
  <c r="N822" i="4"/>
  <c r="N824" i="4"/>
  <c r="I820" i="4"/>
  <c r="L806" i="4" s="1"/>
  <c r="N806" i="4" s="1"/>
  <c r="I805" i="4"/>
  <c r="L791" i="4" s="1"/>
  <c r="N791" i="4" s="1"/>
  <c r="N825" i="4"/>
  <c r="L823" i="4"/>
  <c r="N823" i="4" s="1"/>
  <c r="N821" i="4"/>
  <c r="N790" i="4"/>
  <c r="N789" i="4"/>
  <c r="N569" i="4"/>
  <c r="N567" i="4"/>
  <c r="I565" i="4"/>
  <c r="L555" i="4" s="1"/>
  <c r="I554" i="4"/>
  <c r="L544" i="4" s="1"/>
  <c r="I263" i="4"/>
  <c r="I270" i="4"/>
  <c r="I256" i="4"/>
  <c r="L242" i="4" s="1"/>
  <c r="I241" i="4"/>
  <c r="L227" i="4" s="1"/>
  <c r="I540" i="4"/>
  <c r="L536" i="4" s="1"/>
  <c r="N536" i="4" s="1"/>
  <c r="N537" i="4"/>
  <c r="I787" i="4"/>
  <c r="L784" i="4" s="1"/>
  <c r="N779" i="4"/>
  <c r="I779" i="4"/>
  <c r="I781" i="4" s="1"/>
  <c r="L777" i="4" s="1"/>
  <c r="N777" i="4" s="1"/>
  <c r="N787" i="4"/>
  <c r="N786" i="4"/>
  <c r="N785" i="4"/>
  <c r="N770" i="4"/>
  <c r="N771" i="4"/>
  <c r="N772" i="4"/>
  <c r="N773" i="4"/>
  <c r="N774" i="4"/>
  <c r="N775" i="4"/>
  <c r="N776" i="4"/>
  <c r="I775" i="4"/>
  <c r="I772" i="4"/>
  <c r="I528" i="4"/>
  <c r="L524" i="4" s="1"/>
  <c r="N524" i="4" s="1"/>
  <c r="N525" i="4"/>
  <c r="N526" i="4"/>
  <c r="N528" i="4"/>
  <c r="N530" i="4"/>
  <c r="I533" i="4"/>
  <c r="L529" i="4" s="1"/>
  <c r="N529" i="4" s="1"/>
  <c r="I221" i="4"/>
  <c r="I223" i="4" s="1"/>
  <c r="L217" i="4" s="1"/>
  <c r="N217" i="4" s="1"/>
  <c r="N206" i="4"/>
  <c r="N207" i="4"/>
  <c r="N208" i="4"/>
  <c r="N209" i="4"/>
  <c r="N210" i="4"/>
  <c r="N211" i="4"/>
  <c r="N212" i="4"/>
  <c r="N213" i="4"/>
  <c r="N214" i="4"/>
  <c r="N215" i="4"/>
  <c r="N216" i="4"/>
  <c r="N220" i="4"/>
  <c r="N223" i="4"/>
  <c r="N221" i="4"/>
  <c r="N219" i="4"/>
  <c r="N218" i="4"/>
  <c r="I776" i="4" l="1"/>
  <c r="N520" i="4"/>
  <c r="I180" i="4"/>
  <c r="N113" i="4"/>
  <c r="I704" i="4"/>
  <c r="L701" i="4" s="1"/>
  <c r="N701" i="4" s="1"/>
  <c r="N705" i="4"/>
  <c r="N704" i="4"/>
  <c r="I710" i="4"/>
  <c r="N711" i="4"/>
  <c r="L769" i="4" l="1"/>
  <c r="N769" i="4" s="1"/>
  <c r="I504" i="4" l="1"/>
  <c r="L501" i="4" s="1"/>
  <c r="I500" i="4"/>
  <c r="L497" i="4" s="1"/>
  <c r="N406" i="4"/>
  <c r="I157" i="4"/>
  <c r="I160" i="4" s="1"/>
  <c r="N510" i="4"/>
  <c r="N744" i="4"/>
  <c r="N745" i="4"/>
  <c r="N746" i="4"/>
  <c r="N747" i="4"/>
  <c r="N748" i="4"/>
  <c r="N749" i="4"/>
  <c r="N171" i="4" l="1"/>
  <c r="I171" i="4"/>
  <c r="L168" i="4" s="1"/>
  <c r="N169" i="4"/>
  <c r="N168" i="4" l="1"/>
  <c r="N737" i="4"/>
  <c r="N727" i="4"/>
  <c r="N731" i="4"/>
  <c r="N733" i="4"/>
  <c r="N734" i="4"/>
  <c r="N646" i="4"/>
  <c r="N660" i="4"/>
  <c r="N583" i="4"/>
  <c r="N584" i="4"/>
  <c r="N585" i="4"/>
  <c r="N202" i="4"/>
  <c r="N298" i="4"/>
  <c r="N296" i="4"/>
  <c r="N294" i="4"/>
  <c r="N292" i="4"/>
  <c r="N290" i="4"/>
  <c r="N288" i="4"/>
  <c r="N97" i="4" l="1"/>
  <c r="N106" i="4"/>
  <c r="I104" i="4"/>
  <c r="N96" i="4"/>
  <c r="N108" i="4"/>
  <c r="I111" i="4"/>
  <c r="I112" i="4" s="1"/>
  <c r="N200" i="4"/>
  <c r="N105" i="4"/>
  <c r="N112" i="4"/>
  <c r="N109" i="4"/>
  <c r="N88" i="4"/>
  <c r="N98" i="4"/>
  <c r="N104" i="4"/>
  <c r="N99" i="4"/>
  <c r="I95" i="4"/>
  <c r="N274" i="4"/>
  <c r="I420" i="4"/>
  <c r="L416" i="4" s="1"/>
  <c r="N420" i="4"/>
  <c r="N418" i="4"/>
  <c r="N417" i="4"/>
  <c r="N263" i="4"/>
  <c r="L257" i="4"/>
  <c r="N261" i="4"/>
  <c r="N260" i="4"/>
  <c r="N259" i="4"/>
  <c r="N258" i="4"/>
  <c r="N270" i="4"/>
  <c r="L264" i="4"/>
  <c r="N268" i="4"/>
  <c r="N267" i="4"/>
  <c r="N266" i="4"/>
  <c r="N265" i="4"/>
  <c r="L340" i="4"/>
  <c r="N340" i="4" s="1"/>
  <c r="N286" i="4"/>
  <c r="N285" i="4"/>
  <c r="N284" i="4"/>
  <c r="N356" i="4" l="1"/>
  <c r="N354" i="4"/>
  <c r="N353" i="4"/>
  <c r="N352" i="4"/>
  <c r="N351" i="4"/>
  <c r="L323" i="4"/>
  <c r="N323" i="4" s="1"/>
  <c r="L330" i="4"/>
  <c r="N330" i="4" s="1"/>
  <c r="N412" i="4"/>
  <c r="I412" i="4"/>
  <c r="N410" i="4"/>
  <c r="N409" i="4"/>
  <c r="N408" i="4"/>
  <c r="N407" i="4"/>
  <c r="I405" i="4"/>
  <c r="L399" i="4" s="1"/>
  <c r="N405" i="4"/>
  <c r="N403" i="4"/>
  <c r="N402" i="4"/>
  <c r="N401" i="4"/>
  <c r="N400" i="4"/>
  <c r="I213" i="4"/>
  <c r="I212" i="4"/>
  <c r="I216" i="4" l="1"/>
  <c r="I167" i="4"/>
  <c r="N167" i="4"/>
  <c r="N165" i="4"/>
  <c r="N164" i="4"/>
  <c r="N162" i="4"/>
  <c r="N180" i="4"/>
  <c r="L174" i="4"/>
  <c r="N174" i="4" s="1"/>
  <c r="N178" i="4"/>
  <c r="N177" i="4"/>
  <c r="N176" i="4"/>
  <c r="N175" i="4"/>
  <c r="N173" i="4"/>
  <c r="N198" i="4"/>
  <c r="N196" i="4"/>
  <c r="N195" i="4"/>
  <c r="N194" i="4"/>
  <c r="N193" i="4"/>
  <c r="L192" i="4"/>
  <c r="N192" i="4" s="1"/>
  <c r="I184" i="4"/>
  <c r="L154" i="4"/>
  <c r="N154" i="4" s="1"/>
  <c r="I187" i="4"/>
  <c r="I186" i="4"/>
  <c r="I185" i="4"/>
  <c r="N189" i="4"/>
  <c r="N187" i="4"/>
  <c r="N186" i="4"/>
  <c r="N185" i="4"/>
  <c r="N184" i="4"/>
  <c r="I146" i="4"/>
  <c r="L140" i="4" s="1"/>
  <c r="N140" i="4" s="1"/>
  <c r="L163" i="4" l="1"/>
  <c r="N163" i="4" s="1"/>
  <c r="I189" i="4"/>
  <c r="L183" i="4" s="1"/>
  <c r="N183" i="4" s="1"/>
  <c r="L148" i="4"/>
  <c r="N148" i="4" s="1"/>
  <c r="L147" i="4"/>
  <c r="N146" i="4"/>
  <c r="N144" i="4"/>
  <c r="N143" i="4"/>
  <c r="N142" i="4"/>
  <c r="N141" i="4"/>
  <c r="I131" i="4"/>
  <c r="I126" i="4"/>
  <c r="N127" i="4"/>
  <c r="N125" i="4"/>
  <c r="I121" i="4"/>
  <c r="N137" i="4"/>
  <c r="N135" i="4"/>
  <c r="N134" i="4"/>
  <c r="N133" i="4"/>
  <c r="N131" i="4"/>
  <c r="N130" i="4"/>
  <c r="N132" i="4"/>
  <c r="I132" i="4"/>
  <c r="N128" i="4"/>
  <c r="I128" i="4"/>
  <c r="N123" i="4"/>
  <c r="N117" i="4"/>
  <c r="I117" i="4"/>
  <c r="I137" i="4" l="1"/>
  <c r="N69" i="4" l="1"/>
  <c r="I69" i="4"/>
  <c r="N79" i="4"/>
  <c r="G79" i="4"/>
  <c r="I79" i="4" s="1"/>
  <c r="N78" i="4"/>
  <c r="N77" i="4"/>
  <c r="G77" i="4"/>
  <c r="I77" i="4" s="1"/>
  <c r="N76" i="4"/>
  <c r="I76" i="4"/>
  <c r="N75" i="4"/>
  <c r="I75" i="4"/>
  <c r="N74" i="4"/>
  <c r="I74" i="4"/>
  <c r="N73" i="4"/>
  <c r="I73" i="4"/>
  <c r="N72" i="4"/>
  <c r="G72" i="4"/>
  <c r="E72" i="4"/>
  <c r="N71" i="4"/>
  <c r="G71" i="4"/>
  <c r="I71" i="4" s="1"/>
  <c r="N70" i="4"/>
  <c r="G70" i="4"/>
  <c r="E70" i="4"/>
  <c r="N62" i="4"/>
  <c r="I62" i="4"/>
  <c r="N68" i="4"/>
  <c r="G68" i="4"/>
  <c r="I68" i="4" s="1"/>
  <c r="N67" i="4"/>
  <c r="I67" i="4"/>
  <c r="N66" i="4"/>
  <c r="G66" i="4"/>
  <c r="I66" i="4" s="1"/>
  <c r="N65" i="4"/>
  <c r="G65" i="4"/>
  <c r="I65" i="4" s="1"/>
  <c r="N64" i="4"/>
  <c r="G64" i="4"/>
  <c r="I64" i="4" s="1"/>
  <c r="N63" i="4"/>
  <c r="G63" i="4"/>
  <c r="E63" i="4"/>
  <c r="N53" i="4"/>
  <c r="I53" i="4"/>
  <c r="N61" i="4"/>
  <c r="G61" i="4"/>
  <c r="I61" i="4" s="1"/>
  <c r="N60" i="4"/>
  <c r="I60" i="4"/>
  <c r="N59" i="4"/>
  <c r="I59" i="4"/>
  <c r="N58" i="4"/>
  <c r="G58" i="4"/>
  <c r="I58" i="4" s="1"/>
  <c r="N57" i="4"/>
  <c r="G57" i="4"/>
  <c r="I57" i="4" s="1"/>
  <c r="N56" i="4"/>
  <c r="G56" i="4"/>
  <c r="I56" i="4" s="1"/>
  <c r="N55" i="4"/>
  <c r="G55" i="4"/>
  <c r="I55" i="4" s="1"/>
  <c r="N54" i="4"/>
  <c r="I54" i="4"/>
  <c r="N35" i="4"/>
  <c r="I35" i="4"/>
  <c r="I72" i="4" l="1"/>
  <c r="I70" i="4"/>
  <c r="I63" i="4"/>
  <c r="A643" i="4" l="1"/>
  <c r="A644" i="4"/>
  <c r="A642" i="4"/>
  <c r="N275" i="4"/>
  <c r="N282" i="4" l="1"/>
  <c r="N283" i="4"/>
  <c r="N287" i="4"/>
  <c r="N289" i="4"/>
  <c r="N291" i="4"/>
  <c r="N293" i="4"/>
  <c r="N295" i="4"/>
  <c r="N297" i="4"/>
  <c r="N833" i="4" l="1"/>
  <c r="N835" i="4"/>
  <c r="N45" i="4"/>
  <c r="G45" i="4"/>
  <c r="I45" i="4" s="1"/>
  <c r="N44" i="4"/>
  <c r="G44" i="4"/>
  <c r="I44" i="4" s="1"/>
  <c r="N43" i="4"/>
  <c r="G43" i="4"/>
  <c r="I43" i="4" s="1"/>
  <c r="N42" i="4"/>
  <c r="I42" i="4"/>
  <c r="N619" i="4"/>
  <c r="N576" i="4"/>
  <c r="A4" i="4" l="1"/>
  <c r="A5" i="4"/>
  <c r="A6" i="4"/>
  <c r="A7" i="4"/>
  <c r="A8" i="4"/>
  <c r="A9" i="4"/>
  <c r="A10" i="4"/>
  <c r="A11" i="4"/>
  <c r="J637" i="4"/>
  <c r="N6" i="4"/>
  <c r="A12" i="4" l="1"/>
  <c r="A13" i="4" l="1"/>
  <c r="A14" i="4" l="1"/>
  <c r="A15" i="4" l="1"/>
  <c r="A17" i="4" l="1"/>
  <c r="A18" i="4" s="1"/>
  <c r="A19" i="4" l="1"/>
  <c r="A20" i="4" l="1"/>
  <c r="A25" i="4" s="1"/>
  <c r="A26" i="4" s="1"/>
  <c r="A30" i="4" s="1"/>
  <c r="A31" i="4" s="1"/>
  <c r="A34" i="4" s="1"/>
  <c r="A84" i="4" s="1"/>
  <c r="A88" i="4" s="1"/>
  <c r="A96" i="4" s="1"/>
  <c r="A97" i="4" s="1"/>
  <c r="A98" i="4" s="1"/>
  <c r="A105" i="4" s="1"/>
  <c r="A106" i="4" s="1"/>
  <c r="A108" i="4" s="1"/>
  <c r="A113" i="4" s="1"/>
  <c r="A116" i="4" s="1"/>
  <c r="A140" i="4" s="1"/>
  <c r="A147" i="4" s="1"/>
  <c r="A148" i="4" s="1"/>
  <c r="A151" i="4" s="1"/>
  <c r="A154" i="4" s="1"/>
  <c r="A163" i="4" s="1"/>
  <c r="A168" i="4" s="1"/>
  <c r="A174" i="4" s="1"/>
  <c r="A183" i="4" s="1"/>
  <c r="A192" i="4" s="1"/>
  <c r="A202" i="4" s="1"/>
  <c r="A206" i="4" s="1"/>
  <c r="A217" i="4" s="1"/>
  <c r="A227" i="4" s="1"/>
  <c r="A242" i="4" s="1"/>
  <c r="A257" i="4" s="1"/>
  <c r="A264" i="4" s="1"/>
  <c r="A274" i="4" s="1"/>
  <c r="A275" i="4" s="1"/>
  <c r="A279" i="4" s="1"/>
  <c r="A280" i="4" s="1"/>
  <c r="A284" i="4" s="1"/>
  <c r="A285" i="4" s="1"/>
  <c r="A286" i="4" s="1"/>
  <c r="A287" i="4" l="1"/>
  <c r="A288" i="4" s="1"/>
  <c r="A289" i="4" s="1"/>
  <c r="A290" i="4" s="1"/>
  <c r="A291" i="4" s="1"/>
  <c r="A292" i="4" s="1"/>
  <c r="A293" i="4" s="1"/>
  <c r="A294" i="4" s="1"/>
  <c r="A295" i="4" s="1"/>
  <c r="A296" i="4" s="1"/>
  <c r="A297" i="4" s="1"/>
  <c r="A298" i="4" s="1"/>
  <c r="A302" i="4" s="1"/>
  <c r="A303" i="4" s="1"/>
  <c r="N574" i="4"/>
  <c r="N575" i="4"/>
  <c r="A307" i="4" l="1"/>
  <c r="A308" i="4" s="1"/>
  <c r="A309" i="4" s="1"/>
  <c r="A310" i="4" s="1"/>
  <c r="A311" i="4" s="1"/>
  <c r="A312" i="4" s="1"/>
  <c r="A313" i="4" s="1"/>
  <c r="A314" i="4" s="1"/>
  <c r="A315" i="4" s="1"/>
  <c r="A316" i="4" s="1"/>
  <c r="A317" i="4" s="1"/>
  <c r="A318" i="4" s="1"/>
  <c r="A319" i="4" s="1"/>
  <c r="A323" i="4" s="1"/>
  <c r="A330" i="4" s="1"/>
  <c r="A340" i="4" s="1"/>
  <c r="A347" i="4" s="1"/>
  <c r="A350" i="4" s="1"/>
  <c r="A360" i="4" s="1"/>
  <c r="A361" i="4" s="1"/>
  <c r="A362" i="4" s="1"/>
  <c r="A365" i="4" s="1"/>
  <c r="N628" i="4"/>
  <c r="N625" i="4" l="1"/>
  <c r="N624" i="4"/>
  <c r="N623" i="4"/>
  <c r="N622" i="4"/>
  <c r="N620" i="4"/>
  <c r="N621" i="4"/>
  <c r="N626" i="4"/>
  <c r="A374" i="4" l="1"/>
  <c r="A381" i="4" s="1"/>
  <c r="A388" i="4" s="1"/>
  <c r="A398" i="4" s="1"/>
  <c r="A399" i="4" s="1"/>
  <c r="A406" i="4" s="1"/>
  <c r="A413" i="4" s="1"/>
  <c r="A416" i="4" s="1"/>
  <c r="A423" i="4" s="1"/>
  <c r="A424" i="4" s="1"/>
  <c r="A433" i="4" s="1"/>
  <c r="A434" i="4" s="1"/>
  <c r="A435" i="4" s="1"/>
  <c r="A436" i="4" s="1"/>
  <c r="A438" i="4" s="1"/>
  <c r="A439" i="4" s="1"/>
  <c r="A440" i="4" s="1"/>
  <c r="A441" i="4" s="1"/>
  <c r="A445" i="4" s="1"/>
  <c r="A471" i="4" s="1"/>
  <c r="A474" i="4" s="1"/>
  <c r="A477" i="4" s="1"/>
  <c r="A480" i="4" s="1"/>
  <c r="A489" i="4" s="1"/>
  <c r="A490" i="4" s="1"/>
  <c r="A491" i="4" s="1"/>
  <c r="A494" i="4" s="1"/>
  <c r="A497" i="4" s="1"/>
  <c r="A501" i="4" s="1"/>
  <c r="A507" i="4" s="1"/>
  <c r="A510" i="4" s="1"/>
  <c r="A513" i="4" s="1"/>
  <c r="A516" i="4" s="1"/>
  <c r="A520" i="4" s="1"/>
  <c r="A524" i="4" s="1"/>
  <c r="A529" i="4" s="1"/>
  <c r="A536" i="4" s="1"/>
  <c r="A544" i="4" s="1"/>
  <c r="A555" i="4" s="1"/>
  <c r="A566" i="4" s="1"/>
  <c r="A568" i="4" s="1"/>
  <c r="A573" i="4" s="1"/>
  <c r="A574" i="4" s="1"/>
  <c r="A575" i="4" s="1"/>
  <c r="A576" i="4" s="1"/>
  <c r="A577" i="4" s="1"/>
  <c r="A581" i="4" s="1"/>
  <c r="A582" i="4" s="1"/>
  <c r="A583" i="4" s="1"/>
  <c r="A584" i="4" s="1"/>
  <c r="A585" i="4" s="1"/>
  <c r="A586" i="4" s="1"/>
  <c r="A590" i="4" s="1"/>
  <c r="A591" i="4" s="1"/>
  <c r="A595" i="4" s="1"/>
  <c r="A598" i="4" s="1"/>
  <c r="A601" i="4" s="1"/>
  <c r="A604" i="4" s="1"/>
  <c r="A607" i="4" s="1"/>
  <c r="A608" i="4" s="1"/>
  <c r="A609" i="4" s="1"/>
  <c r="A613" i="4" s="1"/>
  <c r="A614" i="4" s="1"/>
  <c r="A615" i="4" s="1"/>
  <c r="A616" i="4" s="1"/>
  <c r="A619" i="4" s="1"/>
  <c r="A622" i="4" s="1"/>
  <c r="A623" i="4" s="1"/>
  <c r="A624" i="4" s="1"/>
  <c r="A625" i="4" s="1"/>
  <c r="A628" i="4" s="1"/>
  <c r="A629" i="4" s="1"/>
  <c r="A633" i="4" s="1"/>
  <c r="N895" i="4" l="1"/>
  <c r="N894" i="4"/>
  <c r="N893" i="4"/>
  <c r="N892" i="4"/>
  <c r="N891" i="4"/>
  <c r="N788" i="4" l="1"/>
  <c r="N784" i="4"/>
  <c r="N783" i="4"/>
  <c r="N884" i="4" l="1"/>
  <c r="I868" i="4" l="1"/>
  <c r="I874" i="4"/>
  <c r="I873" i="4"/>
  <c r="N764" i="4"/>
  <c r="N765" i="4"/>
  <c r="N712" i="4"/>
  <c r="N763" i="4"/>
  <c r="L865" i="4" l="1"/>
  <c r="N865" i="4" s="1"/>
  <c r="I875" i="4"/>
  <c r="L871" i="4" s="1"/>
  <c r="N871" i="4" s="1"/>
  <c r="L707" i="4"/>
  <c r="N707" i="4" s="1"/>
  <c r="I759" i="4"/>
  <c r="I760" i="4"/>
  <c r="N761" i="4"/>
  <c r="N760" i="4"/>
  <c r="N759" i="4"/>
  <c r="I754" i="4"/>
  <c r="I753" i="4"/>
  <c r="N755" i="4"/>
  <c r="N754" i="4"/>
  <c r="N753" i="4"/>
  <c r="I746" i="4"/>
  <c r="L743" i="4" s="1"/>
  <c r="N743" i="4" s="1"/>
  <c r="I740" i="4"/>
  <c r="N738" i="4"/>
  <c r="N739" i="4"/>
  <c r="N740" i="4"/>
  <c r="I761" i="4" l="1"/>
  <c r="L758" i="4" s="1"/>
  <c r="N758" i="4" s="1"/>
  <c r="I755" i="4"/>
  <c r="L752" i="4" s="1"/>
  <c r="L665" i="4" l="1"/>
  <c r="I736" i="4"/>
  <c r="L732" i="4" s="1"/>
  <c r="N732" i="4" s="1"/>
  <c r="N735" i="4"/>
  <c r="N736" i="4"/>
  <c r="L725" i="4"/>
  <c r="E720" i="4"/>
  <c r="G720" i="4"/>
  <c r="G719" i="4"/>
  <c r="I719" i="4" s="1"/>
  <c r="G685" i="4"/>
  <c r="I685" i="4" s="1"/>
  <c r="N685" i="4"/>
  <c r="G682" i="4"/>
  <c r="I682" i="4" s="1"/>
  <c r="G672" i="4"/>
  <c r="I672" i="4" s="1"/>
  <c r="I720" i="4" l="1"/>
  <c r="N613" i="4" l="1"/>
  <c r="N398" i="4"/>
  <c r="N881" i="4"/>
  <c r="N890" i="4" l="1"/>
  <c r="N896" i="4"/>
  <c r="N889" i="4"/>
  <c r="N888" i="4" l="1"/>
  <c r="N859" i="4"/>
  <c r="N897" i="4" l="1"/>
  <c r="N899" i="4" l="1"/>
  <c r="N898" i="4"/>
  <c r="N629" i="4" l="1"/>
  <c r="N627" i="4"/>
  <c r="N424" i="4"/>
  <c r="N423" i="4"/>
  <c r="N422" i="4"/>
  <c r="N577" i="4" l="1"/>
  <c r="N541" i="4"/>
  <c r="N534" i="4"/>
  <c r="N535" i="4"/>
  <c r="N508" i="4"/>
  <c r="N509" i="4"/>
  <c r="N511" i="4"/>
  <c r="N512" i="4"/>
  <c r="N513" i="4"/>
  <c r="N514" i="4"/>
  <c r="N515" i="4"/>
  <c r="N516" i="4"/>
  <c r="N517" i="4"/>
  <c r="N518" i="4"/>
  <c r="N444" i="4"/>
  <c r="N446" i="4"/>
  <c r="N447" i="4"/>
  <c r="N448" i="4"/>
  <c r="N449" i="4"/>
  <c r="N450" i="4"/>
  <c r="N451" i="4"/>
  <c r="N452" i="4"/>
  <c r="N453" i="4"/>
  <c r="N454" i="4"/>
  <c r="N455" i="4"/>
  <c r="N456" i="4"/>
  <c r="N457" i="4"/>
  <c r="N458" i="4"/>
  <c r="N459" i="4"/>
  <c r="N460" i="4"/>
  <c r="N461" i="4"/>
  <c r="N462" i="4"/>
  <c r="N463" i="4"/>
  <c r="N464" i="4"/>
  <c r="N465" i="4"/>
  <c r="N466" i="4"/>
  <c r="N467" i="4"/>
  <c r="N468" i="4"/>
  <c r="N469" i="4"/>
  <c r="N470" i="4"/>
  <c r="N570" i="4"/>
  <c r="N588" i="4"/>
  <c r="N589" i="4"/>
  <c r="N590" i="4"/>
  <c r="N593" i="4"/>
  <c r="N597" i="4"/>
  <c r="N598" i="4"/>
  <c r="N599" i="4"/>
  <c r="N600" i="4"/>
  <c r="N601" i="4"/>
  <c r="N602" i="4"/>
  <c r="N568" i="4"/>
  <c r="N608" i="4"/>
  <c r="N610" i="4"/>
  <c r="N571" i="4"/>
  <c r="N572" i="4"/>
  <c r="N578" i="4"/>
  <c r="N611" i="4"/>
  <c r="N612" i="4"/>
  <c r="N614" i="4"/>
  <c r="N615" i="4"/>
  <c r="N616" i="4"/>
  <c r="N617" i="4"/>
  <c r="N542" i="4"/>
  <c r="N543" i="4"/>
  <c r="N544" i="4"/>
  <c r="N555" i="4"/>
  <c r="N566" i="4"/>
  <c r="N478" i="4"/>
  <c r="N488" i="4"/>
  <c r="N489" i="4"/>
  <c r="N490" i="4"/>
  <c r="N491" i="4"/>
  <c r="N492" i="4"/>
  <c r="N479" i="4"/>
  <c r="N481" i="4"/>
  <c r="N482" i="4"/>
  <c r="N483" i="4"/>
  <c r="N484" i="4"/>
  <c r="N485" i="4"/>
  <c r="N486" i="4"/>
  <c r="N487" i="4"/>
  <c r="N496" i="4"/>
  <c r="N264" i="4"/>
  <c r="N271" i="4"/>
  <c r="N227" i="4"/>
  <c r="N413" i="4"/>
  <c r="N399" i="4"/>
  <c r="N397" i="4"/>
  <c r="J905" i="4" l="1"/>
  <c r="N433" i="4"/>
  <c r="N429" i="4"/>
  <c r="N430" i="4"/>
  <c r="N431" i="4"/>
  <c r="N432" i="4"/>
  <c r="N434" i="4"/>
  <c r="N435" i="4"/>
  <c r="N436" i="4"/>
  <c r="N437" i="4"/>
  <c r="N438" i="4"/>
  <c r="N439" i="4"/>
  <c r="N440" i="4"/>
  <c r="N441" i="4"/>
  <c r="N442" i="4"/>
  <c r="N443" i="4"/>
  <c r="N8" i="4"/>
  <c r="N9" i="4"/>
  <c r="N10" i="4"/>
  <c r="N11" i="4"/>
  <c r="N12" i="4"/>
  <c r="N13" i="4"/>
  <c r="N15" i="4"/>
  <c r="N16" i="4"/>
  <c r="N17" i="4"/>
  <c r="N18" i="4"/>
  <c r="N19" i="4"/>
  <c r="N426" i="4" s="1"/>
  <c r="N20" i="4"/>
  <c r="N21" i="4"/>
  <c r="N22" i="4"/>
  <c r="N642" i="4" l="1"/>
  <c r="N643" i="4"/>
  <c r="N644" i="4"/>
  <c r="N645" i="4"/>
  <c r="N647" i="4"/>
  <c r="N648" i="4"/>
  <c r="N649" i="4"/>
  <c r="N650" i="4"/>
  <c r="N651" i="4"/>
  <c r="N652" i="4"/>
  <c r="N653" i="4"/>
  <c r="N654" i="4"/>
  <c r="N655" i="4"/>
  <c r="N656" i="4"/>
  <c r="N883" i="4" l="1"/>
  <c r="N879" i="4"/>
  <c r="N880" i="4"/>
  <c r="N882" i="4"/>
  <c r="N885" i="4"/>
  <c r="N699" i="4"/>
  <c r="N845" i="4" l="1"/>
  <c r="N846" i="4"/>
  <c r="N847" i="4"/>
  <c r="N848" i="4"/>
  <c r="N850" i="4"/>
  <c r="N831" i="4"/>
  <c r="N832" i="4"/>
  <c r="N887" i="4" l="1"/>
  <c r="N416" i="4"/>
  <c r="N726" i="4"/>
  <c r="N725" i="4"/>
  <c r="N724" i="4"/>
  <c r="N147" i="4"/>
  <c r="N594" i="4" l="1"/>
  <c r="N595" i="4"/>
  <c r="N596" i="4"/>
  <c r="N579" i="4"/>
  <c r="N580" i="4"/>
  <c r="N501" i="4" l="1"/>
  <c r="N497" i="4"/>
  <c r="I484" i="4"/>
  <c r="I486" i="4" s="1"/>
  <c r="I466" i="4"/>
  <c r="G465" i="4"/>
  <c r="I465" i="4" s="1"/>
  <c r="G464" i="4"/>
  <c r="I464" i="4" s="1"/>
  <c r="G463" i="4"/>
  <c r="I463" i="4" s="1"/>
  <c r="G461" i="4"/>
  <c r="E461" i="4"/>
  <c r="G460" i="4"/>
  <c r="I460" i="4" s="1"/>
  <c r="G458" i="4"/>
  <c r="I458" i="4" s="1"/>
  <c r="I459" i="4"/>
  <c r="G454" i="4"/>
  <c r="E454" i="4"/>
  <c r="G453" i="4"/>
  <c r="I453" i="4" s="1"/>
  <c r="G457" i="4"/>
  <c r="I457" i="4" s="1"/>
  <c r="G452" i="4"/>
  <c r="I452" i="4" s="1"/>
  <c r="G456" i="4"/>
  <c r="I456" i="4" s="1"/>
  <c r="E455" i="4"/>
  <c r="G455" i="4"/>
  <c r="I449" i="4"/>
  <c r="I450" i="4"/>
  <c r="N634" i="4"/>
  <c r="A634" i="4"/>
  <c r="N522" i="4"/>
  <c r="N521" i="4"/>
  <c r="N507" i="4"/>
  <c r="N476" i="4"/>
  <c r="N473" i="4"/>
  <c r="N472" i="4"/>
  <c r="I467" i="4"/>
  <c r="I448" i="4"/>
  <c r="I447" i="4"/>
  <c r="A646" i="4" l="1"/>
  <c r="I455" i="4"/>
  <c r="I461" i="4"/>
  <c r="L480" i="4"/>
  <c r="N480" i="4" s="1"/>
  <c r="I454" i="4"/>
  <c r="A647" i="4" l="1"/>
  <c r="I468" i="4"/>
  <c r="L445" i="4" s="1"/>
  <c r="N445" i="4" s="1"/>
  <c r="A648" i="4" l="1"/>
  <c r="L471" i="4"/>
  <c r="N471" i="4" s="1"/>
  <c r="L474" i="4"/>
  <c r="L477" i="4"/>
  <c r="N477" i="4" s="1"/>
  <c r="N474" i="4"/>
  <c r="A649" i="4" l="1"/>
  <c r="N631" i="4"/>
  <c r="N636" i="4" s="1"/>
  <c r="N637" i="4" s="1"/>
  <c r="N638" i="4" s="1"/>
  <c r="N26" i="4"/>
  <c r="A651" i="4" l="1"/>
  <c r="A652" i="4" s="1"/>
  <c r="A653" i="4" s="1"/>
  <c r="A654" i="4" s="1"/>
  <c r="A659" i="4" l="1"/>
  <c r="A660" i="4" s="1"/>
  <c r="A664" i="4" s="1"/>
  <c r="A665" i="4" l="1"/>
  <c r="A668" i="4" s="1"/>
  <c r="A697" i="4" s="1"/>
  <c r="A701" i="4" s="1"/>
  <c r="A705" i="4" s="1"/>
  <c r="A707" i="4" s="1"/>
  <c r="A711" i="4" s="1"/>
  <c r="A714" i="4" s="1"/>
  <c r="A724" i="4" s="1"/>
  <c r="A725" i="4" s="1"/>
  <c r="A726" i="4" s="1"/>
  <c r="A729" i="4" s="1"/>
  <c r="A732" i="4" s="1"/>
  <c r="A737" i="4" s="1"/>
  <c r="A743" i="4" s="1"/>
  <c r="A749" i="4" s="1"/>
  <c r="A752" i="4" s="1"/>
  <c r="A758" i="4" s="1"/>
  <c r="A764" i="4" s="1"/>
  <c r="A765" i="4" s="1"/>
  <c r="A769" i="4" s="1"/>
  <c r="A777" i="4" s="1"/>
  <c r="A784" i="4" s="1"/>
  <c r="A791" i="4" s="1"/>
  <c r="A806" i="4" s="1"/>
  <c r="A821" i="4" s="1"/>
  <c r="A823" i="4" s="1"/>
  <c r="A828" i="4" s="1"/>
  <c r="A829" i="4" s="1"/>
  <c r="A833" i="4" s="1"/>
  <c r="A834" i="4" s="1"/>
  <c r="A835" i="4" s="1"/>
  <c r="A836" i="4" s="1"/>
  <c r="A840" i="4" s="1"/>
  <c r="A841" i="4" s="1"/>
  <c r="A842" i="4" s="1"/>
  <c r="A843" i="4" s="1"/>
  <c r="A847" i="4" l="1"/>
  <c r="A848" i="4" s="1"/>
  <c r="A853" i="4" s="1"/>
  <c r="A854" i="4" s="1"/>
  <c r="A857" i="4" s="1"/>
  <c r="A861" i="4" l="1"/>
  <c r="A862" i="4" s="1"/>
  <c r="A865" i="4" s="1"/>
  <c r="A871" i="4" s="1"/>
  <c r="A876" i="4" s="1"/>
  <c r="A877" i="4" s="1"/>
  <c r="A881" i="4" l="1"/>
  <c r="A882" i="4" s="1"/>
  <c r="A883" i="4" s="1"/>
  <c r="A884" i="4" s="1"/>
  <c r="A887" i="4" s="1"/>
  <c r="A890" i="4" s="1"/>
  <c r="A891" i="4" s="1"/>
  <c r="A893" i="4" s="1"/>
  <c r="A894" i="4" s="1"/>
  <c r="A895" i="4" s="1"/>
  <c r="A898" i="4" s="1"/>
  <c r="A899" i="4" s="1"/>
  <c r="A901" i="4" s="1"/>
  <c r="N396" i="4" l="1"/>
  <c r="N242" i="4" l="1"/>
  <c r="N226" i="4"/>
  <c r="N225" i="4"/>
  <c r="N95" i="4"/>
  <c r="N93" i="4"/>
  <c r="N90" i="4"/>
  <c r="N89" i="4"/>
  <c r="N414" i="4"/>
  <c r="N273" i="4"/>
  <c r="N272" i="4"/>
  <c r="N224" i="4"/>
  <c r="N191" i="4"/>
  <c r="N182" i="4"/>
  <c r="N122" i="4"/>
  <c r="N120" i="4"/>
  <c r="N115" i="4"/>
  <c r="N139" i="4"/>
  <c r="N83" i="4"/>
  <c r="N82" i="4"/>
  <c r="N52" i="4"/>
  <c r="G52" i="4"/>
  <c r="I52" i="4" s="1"/>
  <c r="N51" i="4"/>
  <c r="G51" i="4"/>
  <c r="I51" i="4" s="1"/>
  <c r="N50" i="4"/>
  <c r="G50" i="4"/>
  <c r="I50" i="4" s="1"/>
  <c r="N49" i="4"/>
  <c r="G49" i="4"/>
  <c r="I49" i="4" s="1"/>
  <c r="N48" i="4"/>
  <c r="I48" i="4"/>
  <c r="N47" i="4"/>
  <c r="I47" i="4"/>
  <c r="N46" i="4"/>
  <c r="I46" i="4"/>
  <c r="N41" i="4"/>
  <c r="G41" i="4"/>
  <c r="E41" i="4"/>
  <c r="N40" i="4"/>
  <c r="G40" i="4"/>
  <c r="I40" i="4" s="1"/>
  <c r="N39" i="4"/>
  <c r="G39" i="4"/>
  <c r="I39" i="4" s="1"/>
  <c r="N38" i="4"/>
  <c r="G38" i="4"/>
  <c r="I38" i="4" s="1"/>
  <c r="N37" i="4"/>
  <c r="G37" i="4"/>
  <c r="I37" i="4" s="1"/>
  <c r="N36" i="4"/>
  <c r="G36" i="4"/>
  <c r="E36" i="4"/>
  <c r="N33" i="4"/>
  <c r="N31" i="4"/>
  <c r="N29" i="4"/>
  <c r="N28" i="4"/>
  <c r="L116" i="4" l="1"/>
  <c r="N116" i="4" s="1"/>
  <c r="I36" i="4"/>
  <c r="I41" i="4"/>
  <c r="I81" i="4" l="1"/>
  <c r="L34" i="4" s="1"/>
  <c r="L84" i="4" s="1"/>
  <c r="N257" i="4"/>
  <c r="N84" i="4" l="1"/>
  <c r="L30" i="4"/>
  <c r="L25" i="4"/>
  <c r="N34" i="4"/>
  <c r="N30" i="4" l="1"/>
  <c r="N25" i="4"/>
  <c r="C27" i="9" l="1"/>
  <c r="N665" i="4" l="1"/>
  <c r="G679" i="4" l="1"/>
  <c r="G693" i="4"/>
  <c r="I680" i="4" l="1"/>
  <c r="N857" i="4" l="1"/>
  <c r="G691" i="4" l="1"/>
  <c r="G690" i="4"/>
  <c r="I681" i="4" l="1"/>
  <c r="G688" i="4"/>
  <c r="E688" i="4"/>
  <c r="G687" i="4"/>
  <c r="I687" i="4" s="1"/>
  <c r="G686" i="4"/>
  <c r="I676" i="4"/>
  <c r="I678" i="4"/>
  <c r="N677" i="4"/>
  <c r="G677" i="4"/>
  <c r="I677" i="4" s="1"/>
  <c r="N676" i="4"/>
  <c r="I679" i="4"/>
  <c r="N682" i="4"/>
  <c r="G671" i="4"/>
  <c r="I671" i="4" s="1"/>
  <c r="N675" i="4" l="1"/>
  <c r="I688" i="4"/>
  <c r="N902" i="4" l="1"/>
  <c r="A902" i="4"/>
  <c r="I718" i="4" l="1"/>
  <c r="I721" i="4" s="1"/>
  <c r="N782" i="4" l="1"/>
  <c r="N752" i="4" l="1"/>
  <c r="N698" i="4"/>
  <c r="N723" i="4"/>
  <c r="N671" i="4" l="1"/>
  <c r="N672" i="4"/>
  <c r="N673" i="4"/>
  <c r="N687" i="4"/>
  <c r="N688" i="4"/>
  <c r="I693" i="4"/>
  <c r="G692" i="4"/>
  <c r="I692" i="4" s="1"/>
  <c r="E691" i="4"/>
  <c r="I691" i="4" s="1"/>
  <c r="E690" i="4"/>
  <c r="I690" i="4" s="1"/>
  <c r="E686" i="4"/>
  <c r="I670" i="4"/>
  <c r="L714" i="4"/>
  <c r="N714" i="4" l="1"/>
  <c r="N669" i="4"/>
  <c r="I686" i="4"/>
  <c r="I694" i="4" l="1"/>
  <c r="L668" i="4" s="1"/>
  <c r="L697" i="4" s="1"/>
  <c r="N697" i="4" s="1"/>
  <c r="N668" i="4" l="1"/>
  <c r="L664" i="4"/>
  <c r="N664" i="4" s="1"/>
  <c r="L659" i="4"/>
  <c r="N659" i="4" s="1"/>
  <c r="N658" i="4"/>
  <c r="N674" i="4"/>
  <c r="N762" i="4" l="1"/>
  <c r="N767" i="4"/>
  <c r="N741" i="4"/>
  <c r="N757" i="4"/>
  <c r="N751" i="4"/>
  <c r="N750" i="4"/>
  <c r="N722" i="4"/>
  <c r="N721" i="4"/>
  <c r="N718" i="4"/>
  <c r="N716" i="4"/>
  <c r="N715" i="4"/>
  <c r="N713" i="4"/>
  <c r="N710" i="4"/>
  <c r="N696" i="4"/>
  <c r="N667" i="4"/>
  <c r="N666" i="4"/>
  <c r="N663" i="4"/>
  <c r="N662" i="4"/>
  <c r="N904" i="4" s="1"/>
  <c r="N905" i="4" l="1"/>
  <c r="N906" i="4" l="1"/>
</calcChain>
</file>

<file path=xl/sharedStrings.xml><?xml version="1.0" encoding="utf-8"?>
<sst xmlns="http://schemas.openxmlformats.org/spreadsheetml/2006/main" count="1500" uniqueCount="445">
  <si>
    <t>N°</t>
  </si>
  <si>
    <t>Désignation des Ouvrages</t>
  </si>
  <si>
    <t>Unité</t>
  </si>
  <si>
    <t>Quantité</t>
  </si>
  <si>
    <t>P.U.</t>
  </si>
  <si>
    <t>Montant</t>
  </si>
  <si>
    <t>CCTP</t>
  </si>
  <si>
    <t>PM</t>
  </si>
  <si>
    <t>mois</t>
  </si>
  <si>
    <t>Dépose évacuation et remise en état des lieux</t>
  </si>
  <si>
    <t>forfait</t>
  </si>
  <si>
    <t>x</t>
  </si>
  <si>
    <t>=</t>
  </si>
  <si>
    <t>3.2.1</t>
  </si>
  <si>
    <t>3.2.2</t>
  </si>
  <si>
    <t>unité</t>
  </si>
  <si>
    <t>3.2.3</t>
  </si>
  <si>
    <t>3.2.4</t>
  </si>
  <si>
    <t>3.2.5</t>
  </si>
  <si>
    <t>3.2.6</t>
  </si>
  <si>
    <t>3.2.7</t>
  </si>
  <si>
    <t>3.2.8</t>
  </si>
  <si>
    <t>3.2.10</t>
  </si>
  <si>
    <t>3.2.9</t>
  </si>
  <si>
    <t>3.2.12</t>
  </si>
  <si>
    <t>3.2.13</t>
  </si>
  <si>
    <t>3.2.14</t>
  </si>
  <si>
    <t>ml</t>
  </si>
  <si>
    <t>INSTALLATIONS DE CHANTIER</t>
  </si>
  <si>
    <t>BRANCHEMENTS PROVISOIRES</t>
  </si>
  <si>
    <t>branchement électrique</t>
  </si>
  <si>
    <t>armoire principale et comptage</t>
  </si>
  <si>
    <t>armoires divisionnaires dans les combles</t>
  </si>
  <si>
    <t>Location et entretien et consommation pour la durée de la tranche</t>
  </si>
  <si>
    <t>branchement en eau</t>
  </si>
  <si>
    <t>branchement principal et comptage</t>
  </si>
  <si>
    <t>points de desserte dans les combles</t>
  </si>
  <si>
    <t>TRAVAUX DE COUVERTURE</t>
  </si>
  <si>
    <t xml:space="preserve">DECOUVERTURE </t>
  </si>
  <si>
    <t>m²</t>
  </si>
  <si>
    <t xml:space="preserve">FOURNITURE D'ARDOISES </t>
  </si>
  <si>
    <t>déduire cheminées</t>
  </si>
  <si>
    <t>kg</t>
  </si>
  <si>
    <t xml:space="preserve">BAS DE PENTE EN ARDOISE </t>
  </si>
  <si>
    <t>souches :</t>
  </si>
  <si>
    <t>FAITAGE EN PLOMB</t>
  </si>
  <si>
    <t>fermées à noquets</t>
  </si>
  <si>
    <t>RIVE LATERALE EN PENETRATION</t>
  </si>
  <si>
    <t xml:space="preserve">DESCENTE PLUVIALE </t>
  </si>
  <si>
    <t>Dauphin fonte en pied de descente, mise en peinture</t>
  </si>
  <si>
    <t>bavette</t>
  </si>
  <si>
    <t>PARATONNERRES</t>
  </si>
  <si>
    <t>bavette de devant de souche, besace à l'arrière et rives en pénétration en jouées</t>
  </si>
  <si>
    <t>besace</t>
  </si>
  <si>
    <t>Montant H.T.</t>
  </si>
  <si>
    <t>Montant T.T.C.</t>
  </si>
  <si>
    <t>m2</t>
  </si>
  <si>
    <t xml:space="preserve">EPI  DE FAITAGE </t>
  </si>
  <si>
    <t>déduire lucarnes</t>
  </si>
  <si>
    <t>brisis côté cour des mathurins</t>
  </si>
  <si>
    <t>u</t>
  </si>
  <si>
    <t>RIVE LIBRE</t>
  </si>
  <si>
    <t xml:space="preserve">rive </t>
  </si>
  <si>
    <t>lucarnes</t>
  </si>
  <si>
    <t>rampant sous faîtage</t>
  </si>
  <si>
    <t>brisis</t>
  </si>
  <si>
    <t>gouttière :</t>
  </si>
  <si>
    <t>compris façon de costière et tous ouvrages annexes</t>
  </si>
  <si>
    <t>PAS DE COUVREUR</t>
  </si>
  <si>
    <t>SORTIE DE VENTILATION METALLIQUE</t>
  </si>
  <si>
    <t>aux clous de cuivre carrés crantés, pureaux réguliers</t>
  </si>
  <si>
    <t>couverture plomb</t>
  </si>
  <si>
    <t>terrassons au dessus du brisis</t>
  </si>
  <si>
    <t>LIGNE DE BRIS</t>
  </si>
  <si>
    <t>ligne de bris :</t>
  </si>
  <si>
    <t>sans objet</t>
  </si>
  <si>
    <t>Maître d’ouvrage :</t>
  </si>
  <si>
    <t>Etablissement public du château de Fontainebleau</t>
  </si>
  <si>
    <t>Château de Fontainebleau</t>
  </si>
  <si>
    <t>77300 Fontainebleau</t>
  </si>
  <si>
    <t>DEPARTEMENT</t>
  </si>
  <si>
    <t>LOCALITE</t>
  </si>
  <si>
    <t>EDIFICE</t>
  </si>
  <si>
    <t>Seine et Marne</t>
  </si>
  <si>
    <t>Fontainebleau</t>
  </si>
  <si>
    <t>Château</t>
  </si>
  <si>
    <t>MAITRISE D'ŒUVRE</t>
  </si>
  <si>
    <t>Architecte A.C.M.H.</t>
  </si>
  <si>
    <t>Patrick PONSOT</t>
  </si>
  <si>
    <t xml:space="preserve">Cabinet FRANCOIS </t>
  </si>
  <si>
    <t>14, rue de Queuleu</t>
  </si>
  <si>
    <t>57070 Metz</t>
  </si>
  <si>
    <t>Téléphone : 02 54 74 70 33</t>
  </si>
  <si>
    <t>Téléphone : 03 87 36 82 75</t>
  </si>
  <si>
    <t>côté cour</t>
  </si>
  <si>
    <t>côté besace</t>
  </si>
  <si>
    <t>pignon nord</t>
  </si>
  <si>
    <t>pignon sud                                                   0,60 x</t>
  </si>
  <si>
    <t>versant sud de la besace</t>
  </si>
  <si>
    <t>besace de raccordement sur croupe</t>
  </si>
  <si>
    <t>déduire châssis</t>
  </si>
  <si>
    <t>CHENEAU</t>
  </si>
  <si>
    <t>support bois et habillages en plomb et cuivre, compris aménagement pour ventilation de la sous-face du voligeage</t>
  </si>
  <si>
    <t>COUVERTURE EN PLOMB</t>
  </si>
  <si>
    <t>aile des ministres</t>
  </si>
  <si>
    <t>déduire cheminées + châssis</t>
  </si>
  <si>
    <t>-</t>
  </si>
  <si>
    <t>T.V.A. 20,00%</t>
  </si>
  <si>
    <t>versant est</t>
  </si>
  <si>
    <t>VOLIGEAGE</t>
  </si>
  <si>
    <t>versant ouest partie nord</t>
  </si>
  <si>
    <t>versant ouest partie sud</t>
  </si>
  <si>
    <t>croupe nord</t>
  </si>
  <si>
    <t>croupe sud</t>
  </si>
  <si>
    <t>châssis de toit</t>
  </si>
  <si>
    <t>souche n°1</t>
  </si>
  <si>
    <t>souche n°2</t>
  </si>
  <si>
    <t>souche n°3</t>
  </si>
  <si>
    <t>souche n°4</t>
  </si>
  <si>
    <t>souche n°5</t>
  </si>
  <si>
    <t>souche n°6</t>
  </si>
  <si>
    <t>rectangulaire</t>
  </si>
  <si>
    <t>circulaire</t>
  </si>
  <si>
    <t>couverture ardoise</t>
  </si>
  <si>
    <t>versant ouest</t>
  </si>
  <si>
    <t xml:space="preserve">croupe nord </t>
  </si>
  <si>
    <t xml:space="preserve">croupe sud </t>
  </si>
  <si>
    <t>déduire cheminée</t>
  </si>
  <si>
    <t>2 x</t>
  </si>
  <si>
    <t>besace est</t>
  </si>
  <si>
    <t>petits versants au nord</t>
  </si>
  <si>
    <t>bas de pente en ardoises comprenant chanlattes, tranchis,…</t>
  </si>
  <si>
    <t xml:space="preserve">fourniture, façon et pose de tuiles plates scellées </t>
  </si>
  <si>
    <t>tuiles de ventilations en cuivre</t>
  </si>
  <si>
    <t>petits versants nord</t>
  </si>
  <si>
    <t xml:space="preserve">versant ouest </t>
  </si>
  <si>
    <t>Boite à eau</t>
  </si>
  <si>
    <t>Support bois et habillages en plomb et cuivre, compris aménagement pour ventilation de la sous-face du voligeage</t>
  </si>
  <si>
    <t>En en jonction avec les parties conservées, compris remaniements</t>
  </si>
  <si>
    <t>RACCORDEMENT ET REMANIAGE AVEC LES PARTIES CONSERVEES</t>
  </si>
  <si>
    <t>CHENEAUX</t>
  </si>
  <si>
    <t>versant nord</t>
  </si>
  <si>
    <t>versant sud</t>
  </si>
  <si>
    <t>brisis nord</t>
  </si>
  <si>
    <t>brisis sud</t>
  </si>
  <si>
    <t>brisis est</t>
  </si>
  <si>
    <t>brisis ouest</t>
  </si>
  <si>
    <t>ligne de bris</t>
  </si>
  <si>
    <t>chéneaux/gouttières</t>
  </si>
  <si>
    <t>Entre terrasson et brisis, en plomb, compris aménagement pour ventilation en sous-face</t>
  </si>
  <si>
    <t>CAPOTAGE DES MITRONS</t>
  </si>
  <si>
    <t>Capotage en cuivre étamé et habillage en plomb 2mm</t>
  </si>
  <si>
    <t xml:space="preserve">Dépose repose des installations existantes, révision et remplacement à la demande </t>
  </si>
  <si>
    <t>pointes de choc</t>
  </si>
  <si>
    <t>conducteurs</t>
  </si>
  <si>
    <t>contrôle de l'installation</t>
  </si>
  <si>
    <t>aile nord</t>
  </si>
  <si>
    <t>aile sud</t>
  </si>
  <si>
    <t>aile ouest</t>
  </si>
  <si>
    <t>brisis ouest retour nord</t>
  </si>
  <si>
    <t>couverture du porche</t>
  </si>
  <si>
    <t>croupe ouest</t>
  </si>
  <si>
    <t>petit versant nord</t>
  </si>
  <si>
    <t>déduire souches</t>
  </si>
  <si>
    <t>souches</t>
  </si>
  <si>
    <t>pointe de diamant 40cm ht à neuf</t>
  </si>
  <si>
    <t>En plomb</t>
  </si>
  <si>
    <t xml:space="preserve">Remplacement à neuf </t>
  </si>
  <si>
    <t>ECHELLE METALLIQUE</t>
  </si>
  <si>
    <t>souche n°7</t>
  </si>
  <si>
    <t>souche n°8</t>
  </si>
  <si>
    <t>souche n°9</t>
  </si>
  <si>
    <t>SO</t>
  </si>
  <si>
    <t>souche n°10</t>
  </si>
  <si>
    <t>souche n°11</t>
  </si>
  <si>
    <t>solin</t>
  </si>
  <si>
    <t>Mathurins aile est</t>
  </si>
  <si>
    <t>Pavillon nord</t>
  </si>
  <si>
    <t>TRAVAUX EN DEPENSES CONTROLEES</t>
  </si>
  <si>
    <t>heure</t>
  </si>
  <si>
    <t>Ouvrier hautement qualifié</t>
  </si>
  <si>
    <t>Ouvrier qualifié</t>
  </si>
  <si>
    <t>contact@cabinetvmh.com</t>
  </si>
  <si>
    <t>remplacement à neuf (désamiantage au lot maçonnerie)</t>
  </si>
  <si>
    <t>remplacement des existants</t>
  </si>
  <si>
    <t>en complément</t>
  </si>
  <si>
    <t>GARDE CORPS</t>
  </si>
  <si>
    <t xml:space="preserve">En complément </t>
  </si>
  <si>
    <t>20, rue Porte Côté</t>
  </si>
  <si>
    <t>41005 Blois</t>
  </si>
  <si>
    <t>direction@cabinetponsot.fr</t>
  </si>
  <si>
    <t>HABILLAGE PLOMB</t>
  </si>
  <si>
    <t>études et rapport</t>
  </si>
  <si>
    <t xml:space="preserve">études et rapport </t>
  </si>
  <si>
    <t>Branchement électrique</t>
  </si>
  <si>
    <t>location, entretien et consommation pour la durée de la tranche</t>
  </si>
  <si>
    <t>dépose évacuation et remise en état des lieux</t>
  </si>
  <si>
    <t>Branchement en eau</t>
  </si>
  <si>
    <t>couverture ardoises</t>
  </si>
  <si>
    <t>sans réemploi, matériaux de couverture et support bois jusqu’à mise à nu des chevrons compris tous ouvrages métalliques de raccordement</t>
  </si>
  <si>
    <t>en sapin traité de 27mm ép. sous couverture ardoises et plomb</t>
  </si>
  <si>
    <t>besace de raccordement sur versant pavillon</t>
  </si>
  <si>
    <t>pavillon ouest</t>
  </si>
  <si>
    <t>pavillon est</t>
  </si>
  <si>
    <t>lucarnes :</t>
  </si>
  <si>
    <t>chéneaux :</t>
  </si>
  <si>
    <t xml:space="preserve">pavillon est </t>
  </si>
  <si>
    <t>besace de raccordement ouest</t>
  </si>
  <si>
    <t>besace de raccordement est</t>
  </si>
  <si>
    <t>pointe de diamant 50cm ht. à neuf</t>
  </si>
  <si>
    <t xml:space="preserve">pavillon ouest </t>
  </si>
  <si>
    <t>x 1,45</t>
  </si>
  <si>
    <t>supplément pour trop plein décoratif</t>
  </si>
  <si>
    <t>ancienne latrine</t>
  </si>
  <si>
    <t>façade est</t>
  </si>
  <si>
    <t>appuis de baie des menuiseries du pavillon est</t>
  </si>
  <si>
    <t>RDC</t>
  </si>
  <si>
    <t>1er étage</t>
  </si>
  <si>
    <t>retour 1er étage</t>
  </si>
  <si>
    <t>bandeau du pavillon est</t>
  </si>
  <si>
    <t>En jonction avec les parties conservées, compris remaniements</t>
  </si>
  <si>
    <t>souche n°12</t>
  </si>
  <si>
    <t>souche n°13</t>
  </si>
  <si>
    <t>HABILLAGE DES APPUIS DES BAIES DE LA FACADE NORD</t>
  </si>
  <si>
    <t xml:space="preserve">90cm de longueur </t>
  </si>
  <si>
    <t>75cm de longueur</t>
  </si>
  <si>
    <t>45cm longueur</t>
  </si>
  <si>
    <t>30 cm longueur</t>
  </si>
  <si>
    <t>PHASE 2 - MATHURINS ZONE OUEST</t>
  </si>
  <si>
    <t>TRANCHE FERME - ZONE MATHURINS</t>
  </si>
  <si>
    <t>SOUS TOTAL PHASE 2 - MATHURINS ZONE OUEST</t>
  </si>
  <si>
    <t>aile centrale</t>
  </si>
  <si>
    <t>souche n°14</t>
  </si>
  <si>
    <t>souche n°15</t>
  </si>
  <si>
    <t>souche n°16</t>
  </si>
  <si>
    <t>souche n°17</t>
  </si>
  <si>
    <t>souche n°18</t>
  </si>
  <si>
    <t>souche n°19</t>
  </si>
  <si>
    <t>souche n°20</t>
  </si>
  <si>
    <t>souche n°21</t>
  </si>
  <si>
    <t>souche n°22</t>
  </si>
  <si>
    <t>Pavillon sur cour des ateliers</t>
  </si>
  <si>
    <t>Lucarnes côté cour d'honneur</t>
  </si>
  <si>
    <t xml:space="preserve">Lucarnes côté cour des Mathurins </t>
  </si>
  <si>
    <t>déduire châssis de toit</t>
  </si>
  <si>
    <t>format 200x300 4,5mm ep.</t>
  </si>
  <si>
    <t>bas de pente en tuiles plates scellés</t>
  </si>
  <si>
    <t>Mathurins aile et terrasse ouest + porche</t>
  </si>
  <si>
    <t xml:space="preserve">terrasson /chéneau plomb </t>
  </si>
  <si>
    <t xml:space="preserve">souches </t>
  </si>
  <si>
    <t>terrasson /chéneau plomb (compris châssis)</t>
  </si>
  <si>
    <t>LIGNES DE BRIS</t>
  </si>
  <si>
    <t>entre terrasson et brisis, en plomb, compris aménagement pour ventilation en sous-face</t>
  </si>
  <si>
    <t>petits versants en ardoises au nord</t>
  </si>
  <si>
    <t>petit versant en plomb au nord</t>
  </si>
  <si>
    <t>Mathurins aile ouest + porche</t>
  </si>
  <si>
    <t>châssis E (0,58x1,00m)</t>
  </si>
  <si>
    <t>châssis F (0,60x0,80m)</t>
  </si>
  <si>
    <t>châssis H (1,20x1,30m)</t>
  </si>
  <si>
    <t>châssis I (0,52x0,80m)</t>
  </si>
  <si>
    <t>châssis J (0,52x0,90m)</t>
  </si>
  <si>
    <t>châssis K (0,52x0,80m)</t>
  </si>
  <si>
    <t>châssis L (0,52x0,90m)</t>
  </si>
  <si>
    <t>châssis A (0,60x0,90m)</t>
  </si>
  <si>
    <t>châssis B (0,60x0,90m)</t>
  </si>
  <si>
    <t>châssis C (0,60x0,90m)</t>
  </si>
  <si>
    <t>châssis D (0,60x0,90m)</t>
  </si>
  <si>
    <t>entre TF et TO</t>
  </si>
  <si>
    <t>entre TF phase 1 et TF phase 2</t>
  </si>
  <si>
    <t>grande besace entre aile est et aile ouest</t>
  </si>
  <si>
    <t>partie sud</t>
  </si>
  <si>
    <t>partie nord</t>
  </si>
  <si>
    <t>retombés verticales nord</t>
  </si>
  <si>
    <t>supplément pour façon de chéneau au droit du versant nord</t>
  </si>
  <si>
    <t>Couverture plomb à tasseaux bois</t>
  </si>
  <si>
    <t>besace intermédiaire entre pavillon cour des ateliers et aile est</t>
  </si>
  <si>
    <t>parties nord et sud</t>
  </si>
  <si>
    <t>petite besace entre pavillon nord et aile est</t>
  </si>
  <si>
    <t>en pied de versant nord du pavillon nord</t>
  </si>
  <si>
    <r>
      <t>Couverture plomb formant chéneau</t>
    </r>
    <r>
      <rPr>
        <sz val="8"/>
        <rFont val="Arial"/>
        <family val="2"/>
      </rPr>
      <t xml:space="preserve"> (petite besace nord)</t>
    </r>
  </si>
  <si>
    <t>habillage plomb 3mm ép.</t>
  </si>
  <si>
    <t>entablement en pied de la souche n°3</t>
  </si>
  <si>
    <t>bande d'ébout plomb en pied des versants en ardoises</t>
  </si>
  <si>
    <t>*supplément pour mise en œuvre de store intérieur manuel</t>
  </si>
  <si>
    <t>SOUS TOTAL PHASE 1 - MATHURINS ZONE EST</t>
  </si>
  <si>
    <t>PHASE 1 - MATHURINS ZONE EST</t>
  </si>
  <si>
    <t>RIVES LATERALES EN PENETRATION</t>
  </si>
  <si>
    <t>châssis M (0,75x0,80m)</t>
  </si>
  <si>
    <t>châssis N (0,95x1,00m)</t>
  </si>
  <si>
    <t>châssis O (0,55x1,10m)</t>
  </si>
  <si>
    <t>châssis P (0,50x0,65m)</t>
  </si>
  <si>
    <t>en sapin traité de 27mm ép. sous couverture ardoises</t>
  </si>
  <si>
    <t>VERSANT COTE COUR D'HONNEUR</t>
  </si>
  <si>
    <t>VERSANT COTE COUR DES MATHURINS</t>
  </si>
  <si>
    <t>POSE D'ARDOISES</t>
  </si>
  <si>
    <t>en partie droite et biaise compris chanlatte de basculement et aménagement pour création d'une ventilation en sous face</t>
  </si>
  <si>
    <t>BAS DE PENTE ARDOISE SUR EGOUT EN TUILES PLATES SCELLES</t>
  </si>
  <si>
    <t>faîtage à 3 pièces, ossature bois et habillage en plomb, compris aménagement pour ventilation de la sous-face du voligeage sur les 2 rives</t>
  </si>
  <si>
    <t>faîtage à 1 pièce, ossature bois et habillage en plomb, compris aménagement pour ventilation de la sous-face du voligeage sur les 2 rives</t>
  </si>
  <si>
    <t>pointe de diamant 30cm ht à neuf</t>
  </si>
  <si>
    <t>pointe de diamant 20cm ht à neuf</t>
  </si>
  <si>
    <t>ARETIER FERMÉ A RANGS CONSECUTIFS</t>
  </si>
  <si>
    <t>fermé à 4 ardoises biaises et 1 noquets par pureau</t>
  </si>
  <si>
    <t>Pavillon sur cour des ateliers + petits versants au nord</t>
  </si>
  <si>
    <t>aile sud (compris prolongement sur arêtier)</t>
  </si>
  <si>
    <t>VERRIERE</t>
  </si>
  <si>
    <t>Restauration en atelier</t>
  </si>
  <si>
    <t xml:space="preserve">dépose de la structure et transport à l'atelier </t>
  </si>
  <si>
    <t>fourniture et pose d'une fermeture provisoire</t>
  </si>
  <si>
    <t>décapage, sablage en atelier de l'ensemble des fers, compris toutes sujétions pour présence de plomb</t>
  </si>
  <si>
    <t>restauration des fers : redressements, compléments, remplacement à neuf pour les parties ne pouvant être conservées</t>
  </si>
  <si>
    <t>métallisation zinc</t>
  </si>
  <si>
    <t>transport retour sur site, repose, traitement ponctuel en métallisation de complément pour les fixations et assemblages</t>
  </si>
  <si>
    <t>peinture de finition certifiée ACQPA (2couches)</t>
  </si>
  <si>
    <t>fourniture et pose de vitrage pour les rampants (verre armé)</t>
  </si>
  <si>
    <t>couvre-joint à neuf</t>
  </si>
  <si>
    <t>grillage pare-grêle</t>
  </si>
  <si>
    <t>verrière G (1,35x2,10m)</t>
  </si>
  <si>
    <t xml:space="preserve">surface en plomb y compris relevé </t>
  </si>
  <si>
    <t>Couverture plomb formant chéneau</t>
  </si>
  <si>
    <t>couvertures plomb entre les 2 besaces en ardoises</t>
  </si>
  <si>
    <t>couverture plomb entre aile des ministres et mathurins</t>
  </si>
  <si>
    <t xml:space="preserve">rive à noquets contre couverture </t>
  </si>
  <si>
    <t>rive contre maçonnerie comprenant noquets et bande soline en plomb avec mortier ou engravure matée à la laine de plomb</t>
  </si>
  <si>
    <t>Pavillon nord ; entre brisis ouest contre aile nord</t>
  </si>
  <si>
    <t>porche contre mathurins aile ouest</t>
  </si>
  <si>
    <t>entre aile nord et aile ouest</t>
  </si>
  <si>
    <t xml:space="preserve">aile sud contre muret </t>
  </si>
  <si>
    <t>aile sud contre porche</t>
  </si>
  <si>
    <t xml:space="preserve">aile ouest </t>
  </si>
  <si>
    <t>aile nord contre aile ouest côté cour des ateliers</t>
  </si>
  <si>
    <t>contre pavillon central aile des ministres</t>
  </si>
  <si>
    <t>jonction entre différence de pente versant cour des mathurins</t>
  </si>
  <si>
    <t>contre pavillon ouest</t>
  </si>
  <si>
    <t>couverture plomb contre pavillon est</t>
  </si>
  <si>
    <t>contre souches pavillon central</t>
  </si>
  <si>
    <t>façade nord ouest</t>
  </si>
  <si>
    <t>muret façade ouest</t>
  </si>
  <si>
    <t>aile sud façade est</t>
  </si>
  <si>
    <t>Pavillon sur cour des ateliers (souche n°4)</t>
  </si>
  <si>
    <t>Pavillon nord (souche n°1)</t>
  </si>
  <si>
    <t>Mathurins aile est (souches n°2,3,5,6,9,11)</t>
  </si>
  <si>
    <t>Mathurins aile et terrasse ouest + porche (souches n° 7,8,10,12,13)</t>
  </si>
  <si>
    <t>souches n°14 à 22</t>
  </si>
  <si>
    <t>ABERGEMENT DE SOUCHES DE CHEMINEES</t>
  </si>
  <si>
    <t>souche n°23</t>
  </si>
  <si>
    <t>souche n°24</t>
  </si>
  <si>
    <t>souche n°25</t>
  </si>
  <si>
    <t>souche n°26</t>
  </si>
  <si>
    <t>souche n°27</t>
  </si>
  <si>
    <t>souche n°28</t>
  </si>
  <si>
    <t>souche n°29</t>
  </si>
  <si>
    <t>souche n°30</t>
  </si>
  <si>
    <t>souche n°31</t>
  </si>
  <si>
    <t>souche n°32</t>
  </si>
  <si>
    <t>souche n°33</t>
  </si>
  <si>
    <t>souche n°34</t>
  </si>
  <si>
    <t>souche n°35</t>
  </si>
  <si>
    <t>souches n°23 à 35</t>
  </si>
  <si>
    <t>châssis U (1,10x1,10m) avec costière</t>
  </si>
  <si>
    <t>châssis V (0,55x0,90m)</t>
  </si>
  <si>
    <t>châssis Q (0,40x0,90m)</t>
  </si>
  <si>
    <t>châssis R (0,50x0,90m)</t>
  </si>
  <si>
    <t>châssis T (0,57x0,80m)</t>
  </si>
  <si>
    <t>châssis S (0,50x0,90m)</t>
  </si>
  <si>
    <t>Mathurins aile et terrasse ouest + porche (souches n°7,8,10,12,13)</t>
  </si>
  <si>
    <t>Mathurins aile est (souches n°2 et 6)</t>
  </si>
  <si>
    <t>Mathurins aile est (souches n° 3,5,9,11)</t>
  </si>
  <si>
    <t xml:space="preserve">Compris dépose, fourniture et pose </t>
  </si>
  <si>
    <t xml:space="preserve">Remplacement de l'existant compris dépose, fourniture et pose </t>
  </si>
  <si>
    <t>GOUTTIERE</t>
  </si>
  <si>
    <t>Gouttière pendante en cuivre</t>
  </si>
  <si>
    <t>Tuyau de descente en cuivre compris naissance,  coudes, colliers de fixation, mise en peinture</t>
  </si>
  <si>
    <t>Tuyau de descente en cuivre compris naissance, coudes, colliers de fixation, mise en peinture</t>
  </si>
  <si>
    <t>1.9</t>
  </si>
  <si>
    <t>3.2.11</t>
  </si>
  <si>
    <t>3.2.16</t>
  </si>
  <si>
    <t>3.2.18</t>
  </si>
  <si>
    <t>3.2.19</t>
  </si>
  <si>
    <t>3.2.20</t>
  </si>
  <si>
    <t>3.2.21</t>
  </si>
  <si>
    <t>compris façon de costière et tous ouvrages annexes et d'étanchéité</t>
  </si>
  <si>
    <t>DOSSIER DES OUVRAGES EXECUTES</t>
  </si>
  <si>
    <t>bas de pente sur gouttières</t>
  </si>
  <si>
    <t>dépose en démolition de l'ensemble des vitrages</t>
  </si>
  <si>
    <t>repérage et étiquetage de l'ensemble de la structure avant dépose</t>
  </si>
  <si>
    <t>étanchéité périphérique en plomb</t>
  </si>
  <si>
    <t>couverture plomb contre mathurins aile ouest</t>
  </si>
  <si>
    <t>aile des ministres façade est</t>
  </si>
  <si>
    <t>2.10</t>
  </si>
  <si>
    <t>BANDE D'EGOUT</t>
  </si>
  <si>
    <t>En cuivre, pour les bas de pente avec gouttière</t>
  </si>
  <si>
    <t>NOUES OUVERTES</t>
  </si>
  <si>
    <t>NOUES FERMEES</t>
  </si>
  <si>
    <t>petit versant au pied de l'entablement ci-avant</t>
  </si>
  <si>
    <t>HABILLAGE DE LUCARNES EN BOIS</t>
  </si>
  <si>
    <t xml:space="preserve">En ardoises et plomb compris les ouvrages accessoires </t>
  </si>
  <si>
    <t>Lucarne aile ouest pignon nord sur cour des ateliers</t>
  </si>
  <si>
    <t>Lucarne aile ouest sur cour de la pharmacie</t>
  </si>
  <si>
    <t xml:space="preserve">Lucarnes aile est sur jardin de diane </t>
  </si>
  <si>
    <t>Lucarnes aile est sur versant est et pignon sud</t>
  </si>
  <si>
    <t>3.2.22</t>
  </si>
  <si>
    <t>Lucarne sur brisis sud supérieur sur cour de la pharmacie</t>
  </si>
  <si>
    <t>Lucarnes sur brisis sud sur cour de la pharmacie</t>
  </si>
  <si>
    <t>Lucarne sur brisis ouest sur cour des mathurins</t>
  </si>
  <si>
    <t>Lucarne sur brisis est sur cour des ateliers</t>
  </si>
  <si>
    <t>Lucarnes sur brisis sud sur cour des ateliers</t>
  </si>
  <si>
    <t>3.2.17</t>
  </si>
  <si>
    <t>3.2.23</t>
  </si>
  <si>
    <t>3.2.24</t>
  </si>
  <si>
    <t>3.2.25</t>
  </si>
  <si>
    <t>3.2.26</t>
  </si>
  <si>
    <t>3.2.27</t>
  </si>
  <si>
    <t>3.2.30</t>
  </si>
  <si>
    <t>3.2.31</t>
  </si>
  <si>
    <t>3.2.32</t>
  </si>
  <si>
    <t>3.2.33</t>
  </si>
  <si>
    <t>3.2.34</t>
  </si>
  <si>
    <t>3.2.28</t>
  </si>
  <si>
    <t>3.2.35</t>
  </si>
  <si>
    <t>3.2.29</t>
  </si>
  <si>
    <t>saillie façade nord des anciennes latrines</t>
  </si>
  <si>
    <t>PHASE PRO / DCE</t>
  </si>
  <si>
    <t>OPC</t>
  </si>
  <si>
    <t>Philippe MACHEFER</t>
  </si>
  <si>
    <t>5, rue des Jacobins</t>
  </si>
  <si>
    <t>49100 Angers</t>
  </si>
  <si>
    <t>Téléphone : 06 07 36 49 28</t>
  </si>
  <si>
    <t>philippe.machefer@cpm-economistes.fr</t>
  </si>
  <si>
    <t>Economiste</t>
  </si>
  <si>
    <t>CHASSIS DE TOIT VITRÉ</t>
  </si>
  <si>
    <t>CHASSIS DE TOIT PLEIN</t>
  </si>
  <si>
    <t xml:space="preserve">garde-corps est </t>
  </si>
  <si>
    <t>garde-corps nord</t>
  </si>
  <si>
    <t>garde-corps entre pavillon sur cour des atelier et aile ouest</t>
  </si>
  <si>
    <t>garde-corps entre aile est et pavillon nord</t>
  </si>
  <si>
    <t>garde-corps entre pavillon nord et pabillon cour des atelier</t>
  </si>
  <si>
    <t>ind.B 19/06/2025</t>
  </si>
  <si>
    <r>
      <t>OPERATION</t>
    </r>
    <r>
      <rPr>
        <sz val="10"/>
        <rFont val="Arial"/>
        <family val="2"/>
      </rPr>
      <t xml:space="preserve"> :  Aile des Ministres : Restauration des couvertures de la partie est</t>
    </r>
  </si>
  <si>
    <t xml:space="preserve">Lot n°2 - Couverture en ardoises et plomb </t>
  </si>
  <si>
    <t>HABILLAGE DE LUCARNES MACONNEES</t>
  </si>
  <si>
    <t>CHASSIS DE TOIT VITREE</t>
  </si>
  <si>
    <t>TRANCHE OPTIONNELLE - AILE DES MINISTRES PARTIE SUD-EST</t>
  </si>
  <si>
    <t>3.2.15</t>
  </si>
  <si>
    <t>DECOMPOSITION DU PRIX GLOBAL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</si>
</sst>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€_-;\-* #,##0.00\ _€_-;_-* &quot;-&quot;??\ _€_-;_-@_-"/>
    <numFmt numFmtId="165" formatCode="#,##0.000"/>
    <numFmt numFmtId="166" formatCode="0.0000"/>
    <numFmt numFmtId="167" formatCode="[$-40C]d\-mmm\-yyyy;@"/>
    <numFmt numFmtId="168" formatCode="_-* #,##0.00\ _F_-;\-* #,##0.00\ _F_-;_-* &quot;-&quot;??\ _F_-;_-@_-"/>
  </numFmts>
  <fonts count="3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b/>
      <u/>
      <sz val="8"/>
      <name val="Arial"/>
      <family val="2"/>
    </font>
    <font>
      <b/>
      <u/>
      <sz val="9"/>
      <name val="Arial"/>
      <family val="2"/>
    </font>
    <font>
      <u/>
      <sz val="8"/>
      <name val="Arial"/>
      <family val="2"/>
    </font>
    <font>
      <i/>
      <sz val="8"/>
      <name val="Arial"/>
      <family val="2"/>
    </font>
    <font>
      <b/>
      <u/>
      <sz val="12"/>
      <name val="Arial"/>
      <family val="2"/>
    </font>
    <font>
      <b/>
      <i/>
      <sz val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8"/>
      <color theme="9" tint="-0.249977111117893"/>
      <name val="Arial"/>
      <family val="2"/>
    </font>
    <font>
      <b/>
      <sz val="14"/>
      <name val="Arial"/>
      <family val="2"/>
    </font>
    <font>
      <i/>
      <sz val="13"/>
      <name val="Arial"/>
      <family val="2"/>
    </font>
    <font>
      <u/>
      <sz val="10"/>
      <color indexed="12"/>
      <name val="Arial"/>
      <family val="2"/>
    </font>
    <font>
      <i/>
      <u/>
      <sz val="10"/>
      <color theme="9" tint="-0.249977111117893"/>
      <name val="Arial"/>
      <family val="2"/>
    </font>
    <font>
      <sz val="8"/>
      <name val="Calibri"/>
      <family val="2"/>
      <scheme val="minor"/>
    </font>
    <font>
      <i/>
      <sz val="10"/>
      <name val="Arial"/>
      <family val="2"/>
    </font>
    <font>
      <b/>
      <sz val="9"/>
      <name val="Arial"/>
      <family val="2"/>
    </font>
    <font>
      <b/>
      <u/>
      <sz val="11"/>
      <name val="Arial"/>
      <family val="2"/>
    </font>
    <font>
      <i/>
      <sz val="9"/>
      <name val="Arial"/>
      <family val="2"/>
    </font>
    <font>
      <i/>
      <sz val="7"/>
      <name val="Arial"/>
      <family val="2"/>
    </font>
    <font>
      <sz val="10"/>
      <color rgb="FFFF0000"/>
      <name val="Arial"/>
      <family val="2"/>
    </font>
    <font>
      <b/>
      <sz val="8"/>
      <color rgb="FFFFC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168" fontId="1" fillId="0" borderId="0" applyFont="0" applyFill="0" applyBorder="0" applyAlignment="0" applyProtection="0"/>
    <xf numFmtId="0" fontId="1" fillId="0" borderId="0"/>
  </cellStyleXfs>
  <cellXfs count="246">
    <xf numFmtId="0" fontId="0" fillId="0" borderId="0" xfId="0"/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4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1" fillId="0" borderId="0" xfId="1" applyAlignment="1">
      <alignment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vertical="center"/>
    </xf>
    <xf numFmtId="4" fontId="2" fillId="0" borderId="2" xfId="1" applyNumberFormat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" fontId="2" fillId="0" borderId="4" xfId="1" applyNumberFormat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4" fontId="2" fillId="0" borderId="7" xfId="1" applyNumberFormat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2" fillId="0" borderId="8" xfId="1" applyFont="1" applyBorder="1" applyAlignment="1">
      <alignment vertical="center"/>
    </xf>
    <xf numFmtId="0" fontId="4" fillId="0" borderId="8" xfId="1" applyFont="1" applyBorder="1" applyAlignment="1">
      <alignment horizontal="center" vertical="center"/>
    </xf>
    <xf numFmtId="4" fontId="4" fillId="0" borderId="8" xfId="1" applyNumberFormat="1" applyFont="1" applyBorder="1" applyAlignment="1">
      <alignment horizontal="center" vertical="center"/>
    </xf>
    <xf numFmtId="0" fontId="4" fillId="0" borderId="0" xfId="2" applyFont="1" applyAlignment="1">
      <alignment vertical="center"/>
    </xf>
    <xf numFmtId="4" fontId="4" fillId="0" borderId="8" xfId="2" applyNumberFormat="1" applyFont="1" applyBorder="1" applyAlignment="1">
      <alignment horizontal="center" vertical="center"/>
    </xf>
    <xf numFmtId="0" fontId="4" fillId="0" borderId="0" xfId="2" applyFont="1" applyAlignment="1">
      <alignment horizontal="left" vertical="center" indent="2"/>
    </xf>
    <xf numFmtId="0" fontId="7" fillId="0" borderId="0" xfId="1" applyFont="1" applyAlignment="1">
      <alignment vertical="center"/>
    </xf>
    <xf numFmtId="4" fontId="4" fillId="0" borderId="0" xfId="1" applyNumberFormat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left" vertical="center" indent="3"/>
    </xf>
    <xf numFmtId="4" fontId="4" fillId="0" borderId="0" xfId="1" quotePrefix="1" applyNumberFormat="1" applyFont="1" applyAlignment="1">
      <alignment horizontal="center" vertical="center"/>
    </xf>
    <xf numFmtId="1" fontId="4" fillId="0" borderId="8" xfId="1" applyNumberFormat="1" applyFont="1" applyBorder="1" applyAlignment="1">
      <alignment horizontal="center" vertical="center"/>
    </xf>
    <xf numFmtId="4" fontId="4" fillId="0" borderId="0" xfId="1" applyNumberFormat="1" applyFont="1" applyAlignment="1">
      <alignment vertical="center"/>
    </xf>
    <xf numFmtId="0" fontId="2" fillId="0" borderId="12" xfId="1" applyFont="1" applyBorder="1" applyAlignment="1">
      <alignment horizontal="center" vertical="center"/>
    </xf>
    <xf numFmtId="0" fontId="8" fillId="0" borderId="0" xfId="1" applyFont="1" applyAlignment="1">
      <alignment vertical="center"/>
    </xf>
    <xf numFmtId="4" fontId="4" fillId="0" borderId="12" xfId="1" applyNumberFormat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3" fillId="0" borderId="3" xfId="1" applyFont="1" applyBorder="1" applyAlignment="1">
      <alignment vertical="center"/>
    </xf>
    <xf numFmtId="0" fontId="4" fillId="0" borderId="3" xfId="1" applyFont="1" applyBorder="1" applyAlignment="1">
      <alignment horizontal="center" vertical="center"/>
    </xf>
    <xf numFmtId="4" fontId="4" fillId="0" borderId="3" xfId="1" applyNumberFormat="1" applyFont="1" applyBorder="1" applyAlignment="1">
      <alignment horizontal="center" vertical="center"/>
    </xf>
    <xf numFmtId="0" fontId="4" fillId="0" borderId="14" xfId="1" applyFont="1" applyBorder="1" applyAlignment="1">
      <alignment horizontal="center" vertical="center"/>
    </xf>
    <xf numFmtId="4" fontId="4" fillId="0" borderId="14" xfId="1" applyNumberFormat="1" applyFont="1" applyBorder="1" applyAlignment="1">
      <alignment horizontal="center" vertical="center"/>
    </xf>
    <xf numFmtId="4" fontId="9" fillId="0" borderId="17" xfId="1" applyNumberFormat="1" applyFont="1" applyBorder="1" applyAlignment="1">
      <alignment horizontal="center" vertical="center"/>
    </xf>
    <xf numFmtId="0" fontId="4" fillId="0" borderId="19" xfId="1" applyFont="1" applyBorder="1" applyAlignment="1">
      <alignment horizontal="center" vertical="center"/>
    </xf>
    <xf numFmtId="4" fontId="4" fillId="0" borderId="19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2" fontId="4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 indent="2"/>
    </xf>
    <xf numFmtId="0" fontId="4" fillId="0" borderId="0" xfId="1" applyFont="1" applyAlignment="1">
      <alignment horizontal="left" vertical="center" indent="1"/>
    </xf>
    <xf numFmtId="0" fontId="4" fillId="0" borderId="0" xfId="1" applyFont="1" applyAlignment="1">
      <alignment horizontal="right" vertical="center"/>
    </xf>
    <xf numFmtId="1" fontId="4" fillId="0" borderId="12" xfId="1" applyNumberFormat="1" applyFont="1" applyBorder="1" applyAlignment="1">
      <alignment horizontal="center" vertical="center"/>
    </xf>
    <xf numFmtId="1" fontId="4" fillId="0" borderId="0" xfId="1" applyNumberFormat="1" applyFont="1" applyAlignment="1">
      <alignment horizontal="center" vertical="center"/>
    </xf>
    <xf numFmtId="0" fontId="4" fillId="0" borderId="10" xfId="1" applyFont="1" applyBorder="1" applyAlignment="1">
      <alignment vertical="center"/>
    </xf>
    <xf numFmtId="0" fontId="4" fillId="0" borderId="0" xfId="1" applyFont="1" applyAlignment="1">
      <alignment horizontal="left" vertical="center"/>
    </xf>
    <xf numFmtId="2" fontId="4" fillId="0" borderId="10" xfId="1" applyNumberFormat="1" applyFont="1" applyBorder="1" applyAlignment="1">
      <alignment horizontal="center" vertical="center"/>
    </xf>
    <xf numFmtId="0" fontId="12" fillId="0" borderId="0" xfId="1" applyFont="1" applyAlignment="1">
      <alignment vertical="center"/>
    </xf>
    <xf numFmtId="165" fontId="4" fillId="0" borderId="8" xfId="1" applyNumberFormat="1" applyFont="1" applyBorder="1" applyAlignment="1">
      <alignment horizontal="center" vertical="center"/>
    </xf>
    <xf numFmtId="0" fontId="7" fillId="0" borderId="0" xfId="1" applyFont="1" applyAlignment="1">
      <alignment horizontal="left" vertical="center"/>
    </xf>
    <xf numFmtId="0" fontId="5" fillId="0" borderId="0" xfId="1" applyFont="1" applyAlignment="1">
      <alignment horizontal="center" vertical="center"/>
    </xf>
    <xf numFmtId="3" fontId="4" fillId="0" borderId="8" xfId="1" applyNumberFormat="1" applyFont="1" applyBorder="1" applyAlignment="1">
      <alignment horizontal="center" vertical="center"/>
    </xf>
    <xf numFmtId="0" fontId="1" fillId="0" borderId="0" xfId="1" applyAlignment="1">
      <alignment horizontal="left" vertical="center"/>
    </xf>
    <xf numFmtId="0" fontId="9" fillId="0" borderId="0" xfId="1" applyFont="1" applyAlignment="1">
      <alignment horizontal="left" vertical="center"/>
    </xf>
    <xf numFmtId="2" fontId="4" fillId="0" borderId="8" xfId="1" applyNumberFormat="1" applyFont="1" applyBorder="1" applyAlignment="1">
      <alignment horizontal="center" vertical="center"/>
    </xf>
    <xf numFmtId="4" fontId="4" fillId="0" borderId="10" xfId="1" applyNumberFormat="1" applyFont="1" applyBorder="1" applyAlignment="1">
      <alignment horizontal="center" vertical="center"/>
    </xf>
    <xf numFmtId="0" fontId="7" fillId="0" borderId="10" xfId="1" applyFont="1" applyBorder="1" applyAlignment="1">
      <alignment horizontal="left" vertical="center" wrapText="1"/>
    </xf>
    <xf numFmtId="0" fontId="5" fillId="0" borderId="10" xfId="1" applyFont="1" applyBorder="1" applyAlignment="1">
      <alignment horizontal="center" vertical="center"/>
    </xf>
    <xf numFmtId="4" fontId="13" fillId="0" borderId="0" xfId="1" applyNumberFormat="1" applyFont="1" applyAlignment="1">
      <alignment horizontal="center" vertical="center"/>
    </xf>
    <xf numFmtId="4" fontId="13" fillId="0" borderId="0" xfId="1" quotePrefix="1" applyNumberFormat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 wrapText="1"/>
    </xf>
    <xf numFmtId="4" fontId="1" fillId="0" borderId="0" xfId="1" applyNumberFormat="1" applyAlignment="1">
      <alignment vertical="center"/>
    </xf>
    <xf numFmtId="4" fontId="1" fillId="0" borderId="0" xfId="1" applyNumberFormat="1" applyAlignment="1">
      <alignment horizontal="center" vertical="center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center" vertical="center"/>
    </xf>
    <xf numFmtId="4" fontId="3" fillId="0" borderId="0" xfId="1" applyNumberFormat="1" applyFont="1" applyAlignment="1">
      <alignment horizontal="center" vertical="center"/>
    </xf>
    <xf numFmtId="4" fontId="3" fillId="0" borderId="0" xfId="1" applyNumberFormat="1" applyFont="1" applyAlignment="1">
      <alignment vertical="center"/>
    </xf>
    <xf numFmtId="0" fontId="17" fillId="0" borderId="0" xfId="1" applyFont="1" applyAlignment="1">
      <alignment vertical="center"/>
    </xf>
    <xf numFmtId="0" fontId="18" fillId="0" borderId="0" xfId="1" applyFont="1" applyAlignment="1">
      <alignment horizontal="right" vertical="center" indent="1"/>
    </xf>
    <xf numFmtId="0" fontId="12" fillId="0" borderId="0" xfId="1" applyFont="1" applyAlignment="1">
      <alignment horizontal="left" vertical="center" indent="2"/>
    </xf>
    <xf numFmtId="0" fontId="10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7" fillId="0" borderId="0" xfId="1" applyFont="1" applyAlignment="1">
      <alignment horizontal="left" vertical="center" indent="3"/>
    </xf>
    <xf numFmtId="0" fontId="7" fillId="0" borderId="0" xfId="1" applyFont="1" applyAlignment="1">
      <alignment horizontal="left" vertical="center" indent="1"/>
    </xf>
    <xf numFmtId="0" fontId="4" fillId="0" borderId="0" xfId="4" applyFont="1" applyFill="1" applyAlignment="1" applyProtection="1">
      <alignment vertical="center"/>
    </xf>
    <xf numFmtId="0" fontId="4" fillId="0" borderId="0" xfId="4" applyFont="1" applyFill="1" applyAlignment="1" applyProtection="1">
      <alignment horizontal="left" vertical="center" indent="1"/>
    </xf>
    <xf numFmtId="0" fontId="22" fillId="0" borderId="0" xfId="1" applyFont="1" applyAlignment="1">
      <alignment vertical="center"/>
    </xf>
    <xf numFmtId="0" fontId="4" fillId="0" borderId="0" xfId="4" applyFont="1" applyFill="1" applyBorder="1" applyAlignment="1" applyProtection="1">
      <alignment vertical="center"/>
    </xf>
    <xf numFmtId="4" fontId="4" fillId="0" borderId="0" xfId="1" applyNumberFormat="1" applyFont="1" applyAlignment="1">
      <alignment horizontal="left" vertical="center"/>
    </xf>
    <xf numFmtId="0" fontId="7" fillId="0" borderId="0" xfId="1" applyFont="1" applyAlignment="1">
      <alignment horizontal="left" vertical="center" wrapText="1"/>
    </xf>
    <xf numFmtId="0" fontId="4" fillId="0" borderId="10" xfId="1" applyFont="1" applyBorder="1" applyAlignment="1">
      <alignment horizontal="left" vertical="center" wrapText="1"/>
    </xf>
    <xf numFmtId="0" fontId="4" fillId="0" borderId="9" xfId="1" applyFont="1" applyBorder="1" applyAlignment="1">
      <alignment horizontal="left" vertical="center"/>
    </xf>
    <xf numFmtId="0" fontId="2" fillId="0" borderId="6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0" xfId="2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1" fillId="0" borderId="10" xfId="1" applyBorder="1" applyAlignment="1">
      <alignment vertical="center"/>
    </xf>
    <xf numFmtId="0" fontId="2" fillId="0" borderId="10" xfId="1" applyFont="1" applyBorder="1" applyAlignment="1">
      <alignment vertical="center"/>
    </xf>
    <xf numFmtId="0" fontId="4" fillId="0" borderId="0" xfId="1" applyFont="1" applyAlignment="1">
      <alignment horizontal="left" vertical="center" wrapText="1"/>
    </xf>
    <xf numFmtId="0" fontId="4" fillId="2" borderId="0" xfId="1" applyFont="1" applyFill="1" applyAlignment="1">
      <alignment vertical="center"/>
    </xf>
    <xf numFmtId="0" fontId="4" fillId="0" borderId="1" xfId="1" applyFont="1" applyBorder="1" applyAlignment="1">
      <alignment horizontal="center" vertical="center"/>
    </xf>
    <xf numFmtId="0" fontId="4" fillId="0" borderId="3" xfId="1" applyFont="1" applyBorder="1" applyAlignment="1">
      <alignment vertical="center"/>
    </xf>
    <xf numFmtId="4" fontId="7" fillId="0" borderId="13" xfId="1" applyNumberFormat="1" applyFont="1" applyBorder="1" applyAlignment="1">
      <alignment horizontal="left" vertical="center" indent="1"/>
    </xf>
    <xf numFmtId="4" fontId="7" fillId="0" borderId="16" xfId="1" applyNumberFormat="1" applyFont="1" applyBorder="1" applyAlignment="1">
      <alignment horizontal="left" vertical="center" indent="1"/>
    </xf>
    <xf numFmtId="4" fontId="7" fillId="0" borderId="18" xfId="1" applyNumberFormat="1" applyFont="1" applyBorder="1" applyAlignment="1">
      <alignment horizontal="left" vertical="center" indent="1"/>
    </xf>
    <xf numFmtId="0" fontId="11" fillId="0" borderId="0" xfId="1" applyFont="1" applyAlignment="1">
      <alignment horizontal="center" vertical="center"/>
    </xf>
    <xf numFmtId="0" fontId="11" fillId="0" borderId="10" xfId="1" applyFont="1" applyBorder="1" applyAlignment="1">
      <alignment horizontal="center" vertical="center"/>
    </xf>
    <xf numFmtId="4" fontId="4" fillId="0" borderId="8" xfId="1" applyNumberFormat="1" applyFont="1" applyBorder="1" applyAlignment="1">
      <alignment horizontal="right" vertical="center"/>
    </xf>
    <xf numFmtId="2" fontId="4" fillId="0" borderId="0" xfId="1" quotePrefix="1" applyNumberFormat="1" applyFont="1" applyAlignment="1">
      <alignment horizontal="center" vertical="center"/>
    </xf>
    <xf numFmtId="2" fontId="1" fillId="0" borderId="0" xfId="1" applyNumberFormat="1" applyAlignment="1">
      <alignment vertical="center"/>
    </xf>
    <xf numFmtId="0" fontId="4" fillId="0" borderId="0" xfId="1" applyFont="1" applyAlignment="1">
      <alignment horizontal="left" vertical="center" wrapText="1" indent="1"/>
    </xf>
    <xf numFmtId="0" fontId="4" fillId="0" borderId="0" xfId="1" applyFont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7" fillId="0" borderId="1" xfId="1" applyFont="1" applyBorder="1" applyAlignment="1">
      <alignment vertical="center"/>
    </xf>
    <xf numFmtId="0" fontId="3" fillId="0" borderId="9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4" fillId="0" borderId="10" xfId="1" applyFont="1" applyBorder="1" applyAlignment="1">
      <alignment horizontal="left" vertical="center"/>
    </xf>
    <xf numFmtId="0" fontId="11" fillId="0" borderId="9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4" fillId="0" borderId="10" xfId="1" applyFont="1" applyBorder="1" applyAlignment="1">
      <alignment horizontal="left" vertical="center" indent="1"/>
    </xf>
    <xf numFmtId="0" fontId="13" fillId="0" borderId="0" xfId="1" applyFont="1" applyAlignment="1">
      <alignment horizontal="left" vertical="center" wrapText="1" indent="2"/>
    </xf>
    <xf numFmtId="0" fontId="13" fillId="0" borderId="0" xfId="1" applyFont="1" applyAlignment="1">
      <alignment horizontal="center" vertical="center" wrapText="1"/>
    </xf>
    <xf numFmtId="4" fontId="13" fillId="0" borderId="8" xfId="1" applyNumberFormat="1" applyFont="1" applyBorder="1" applyAlignment="1">
      <alignment horizontal="center" vertical="center"/>
    </xf>
    <xf numFmtId="0" fontId="24" fillId="0" borderId="0" xfId="1" applyFont="1" applyAlignment="1">
      <alignment vertical="center"/>
    </xf>
    <xf numFmtId="0" fontId="14" fillId="0" borderId="9" xfId="1" applyFont="1" applyBorder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14" fillId="0" borderId="10" xfId="1" applyFont="1" applyBorder="1" applyAlignment="1">
      <alignment horizontal="center" vertical="center"/>
    </xf>
    <xf numFmtId="0" fontId="4" fillId="0" borderId="0" xfId="1" quotePrefix="1" applyFont="1" applyAlignment="1">
      <alignment horizontal="left" vertical="center" indent="1"/>
    </xf>
    <xf numFmtId="4" fontId="9" fillId="0" borderId="0" xfId="1" applyNumberFormat="1" applyFont="1" applyAlignment="1">
      <alignment horizontal="left" vertical="center"/>
    </xf>
    <xf numFmtId="0" fontId="4" fillId="0" borderId="0" xfId="1" quotePrefix="1" applyFont="1" applyAlignment="1">
      <alignment horizontal="center" vertical="center"/>
    </xf>
    <xf numFmtId="2" fontId="9" fillId="0" borderId="0" xfId="1" applyNumberFormat="1" applyFont="1" applyAlignment="1">
      <alignment horizontal="left" vertical="center"/>
    </xf>
    <xf numFmtId="0" fontId="4" fillId="0" borderId="0" xfId="2" applyFont="1" applyAlignment="1">
      <alignment horizontal="left" vertical="center" indent="1"/>
    </xf>
    <xf numFmtId="0" fontId="4" fillId="0" borderId="9" xfId="1" applyFont="1" applyBorder="1" applyAlignment="1">
      <alignment vertical="center"/>
    </xf>
    <xf numFmtId="0" fontId="9" fillId="0" borderId="0" xfId="1" applyFont="1" applyAlignment="1">
      <alignment horizontal="center" vertical="center"/>
    </xf>
    <xf numFmtId="2" fontId="9" fillId="0" borderId="0" xfId="1" applyNumberFormat="1" applyFont="1" applyAlignment="1">
      <alignment horizontal="center" vertical="center"/>
    </xf>
    <xf numFmtId="0" fontId="4" fillId="0" borderId="9" xfId="1" applyFont="1" applyBorder="1" applyAlignment="1">
      <alignment horizontal="left" vertical="center" indent="1"/>
    </xf>
    <xf numFmtId="2" fontId="7" fillId="0" borderId="3" xfId="1" applyNumberFormat="1" applyFont="1" applyBorder="1" applyAlignment="1">
      <alignment horizontal="center" vertical="center"/>
    </xf>
    <xf numFmtId="0" fontId="4" fillId="0" borderId="9" xfId="1" applyFont="1" applyBorder="1" applyAlignment="1">
      <alignment horizontal="left" vertical="center" indent="2"/>
    </xf>
    <xf numFmtId="0" fontId="4" fillId="0" borderId="9" xfId="1" applyFont="1" applyBorder="1" applyAlignment="1">
      <alignment horizontal="left" vertical="center" indent="3"/>
    </xf>
    <xf numFmtId="17" fontId="1" fillId="0" borderId="0" xfId="1" applyNumberFormat="1" applyAlignment="1">
      <alignment vertical="center"/>
    </xf>
    <xf numFmtId="2" fontId="1" fillId="0" borderId="0" xfId="1" applyNumberFormat="1" applyAlignment="1">
      <alignment horizontal="center" vertical="center"/>
    </xf>
    <xf numFmtId="4" fontId="25" fillId="0" borderId="15" xfId="1" applyNumberFormat="1" applyFont="1" applyBorder="1" applyAlignment="1">
      <alignment horizontal="center" vertical="center"/>
    </xf>
    <xf numFmtId="4" fontId="25" fillId="0" borderId="20" xfId="1" applyNumberFormat="1" applyFont="1" applyBorder="1" applyAlignment="1">
      <alignment horizontal="center" vertical="center"/>
    </xf>
    <xf numFmtId="4" fontId="4" fillId="0" borderId="0" xfId="1" applyNumberFormat="1" applyFont="1" applyAlignment="1">
      <alignment horizontal="left" vertical="center" indent="1"/>
    </xf>
    <xf numFmtId="0" fontId="13" fillId="0" borderId="0" xfId="1" applyFont="1" applyAlignment="1">
      <alignment vertical="center"/>
    </xf>
    <xf numFmtId="0" fontId="13" fillId="0" borderId="0" xfId="1" applyFont="1" applyAlignment="1">
      <alignment horizontal="right" vertical="center"/>
    </xf>
    <xf numFmtId="0" fontId="13" fillId="0" borderId="0" xfId="1" applyFont="1" applyAlignment="1">
      <alignment horizontal="left" vertical="center" indent="3"/>
    </xf>
    <xf numFmtId="4" fontId="15" fillId="0" borderId="0" xfId="1" applyNumberFormat="1" applyFont="1" applyAlignment="1">
      <alignment horizontal="center" vertical="center"/>
    </xf>
    <xf numFmtId="4" fontId="15" fillId="0" borderId="3" xfId="1" applyNumberFormat="1" applyFont="1" applyBorder="1" applyAlignment="1">
      <alignment horizontal="center" vertical="center"/>
    </xf>
    <xf numFmtId="10" fontId="4" fillId="0" borderId="0" xfId="1" applyNumberFormat="1" applyFont="1" applyAlignment="1">
      <alignment horizontal="center" vertical="center"/>
    </xf>
    <xf numFmtId="0" fontId="2" fillId="0" borderId="14" xfId="1" applyFont="1" applyBorder="1" applyAlignment="1">
      <alignment vertical="center"/>
    </xf>
    <xf numFmtId="0" fontId="2" fillId="0" borderId="19" xfId="1" applyFont="1" applyBorder="1" applyAlignment="1">
      <alignment vertical="center"/>
    </xf>
    <xf numFmtId="0" fontId="13" fillId="0" borderId="0" xfId="1" applyFont="1" applyAlignment="1">
      <alignment horizontal="left" vertical="center" indent="1"/>
    </xf>
    <xf numFmtId="0" fontId="13" fillId="0" borderId="0" xfId="1" applyFont="1" applyAlignment="1">
      <alignment horizontal="center" vertical="center"/>
    </xf>
    <xf numFmtId="0" fontId="13" fillId="0" borderId="10" xfId="1" applyFont="1" applyBorder="1" applyAlignment="1">
      <alignment horizontal="center" vertical="center"/>
    </xf>
    <xf numFmtId="0" fontId="27" fillId="0" borderId="0" xfId="1" applyFont="1" applyAlignment="1">
      <alignment horizontal="left" vertical="center"/>
    </xf>
    <xf numFmtId="0" fontId="13" fillId="0" borderId="0" xfId="1" applyFont="1" applyAlignment="1">
      <alignment horizontal="left" vertical="center" indent="2"/>
    </xf>
    <xf numFmtId="2" fontId="13" fillId="0" borderId="0" xfId="1" applyNumberFormat="1" applyFont="1" applyAlignment="1">
      <alignment horizontal="center" vertical="center"/>
    </xf>
    <xf numFmtId="2" fontId="13" fillId="0" borderId="0" xfId="1" quotePrefix="1" applyNumberFormat="1" applyFont="1" applyAlignment="1">
      <alignment horizontal="center" vertical="center"/>
    </xf>
    <xf numFmtId="0" fontId="28" fillId="0" borderId="10" xfId="1" applyFont="1" applyBorder="1" applyAlignment="1">
      <alignment vertical="center"/>
    </xf>
    <xf numFmtId="2" fontId="24" fillId="0" borderId="0" xfId="1" applyNumberFormat="1" applyFont="1" applyAlignment="1">
      <alignment vertical="center"/>
    </xf>
    <xf numFmtId="0" fontId="24" fillId="0" borderId="10" xfId="1" applyFont="1" applyBorder="1" applyAlignment="1">
      <alignment vertical="center"/>
    </xf>
    <xf numFmtId="0" fontId="13" fillId="0" borderId="0" xfId="1" applyFont="1" applyAlignment="1">
      <alignment horizontal="left" vertical="center" indent="4"/>
    </xf>
    <xf numFmtId="166" fontId="13" fillId="0" borderId="0" xfId="1" applyNumberFormat="1" applyFont="1" applyAlignment="1">
      <alignment horizontal="left" vertical="center"/>
    </xf>
    <xf numFmtId="2" fontId="13" fillId="0" borderId="0" xfId="1" applyNumberFormat="1" applyFont="1" applyAlignment="1">
      <alignment vertical="center"/>
    </xf>
    <xf numFmtId="2" fontId="15" fillId="0" borderId="3" xfId="1" applyNumberFormat="1" applyFont="1" applyBorder="1" applyAlignment="1">
      <alignment horizontal="center" vertical="center"/>
    </xf>
    <xf numFmtId="0" fontId="13" fillId="0" borderId="0" xfId="1" applyFont="1" applyAlignment="1">
      <alignment horizontal="left" vertical="center"/>
    </xf>
    <xf numFmtId="0" fontId="13" fillId="0" borderId="0" xfId="1" quotePrefix="1" applyFont="1" applyAlignment="1">
      <alignment horizontal="center" vertical="center"/>
    </xf>
    <xf numFmtId="0" fontId="15" fillId="0" borderId="0" xfId="1" applyFont="1" applyAlignment="1">
      <alignment vertical="center"/>
    </xf>
    <xf numFmtId="0" fontId="9" fillId="0" borderId="0" xfId="1" applyFont="1" applyAlignment="1">
      <alignment horizontal="left" vertical="center" indent="1"/>
    </xf>
    <xf numFmtId="3" fontId="13" fillId="0" borderId="0" xfId="1" applyNumberFormat="1" applyFont="1" applyAlignment="1">
      <alignment horizontal="center" vertical="center"/>
    </xf>
    <xf numFmtId="3" fontId="15" fillId="0" borderId="3" xfId="1" applyNumberFormat="1" applyFont="1" applyBorder="1" applyAlignment="1">
      <alignment horizontal="center" vertical="center"/>
    </xf>
    <xf numFmtId="4" fontId="13" fillId="0" borderId="10" xfId="1" applyNumberFormat="1" applyFont="1" applyBorder="1" applyAlignment="1">
      <alignment horizontal="center" vertical="center"/>
    </xf>
    <xf numFmtId="4" fontId="13" fillId="0" borderId="0" xfId="1" applyNumberFormat="1" applyFont="1" applyAlignment="1">
      <alignment horizontal="right" vertical="center"/>
    </xf>
    <xf numFmtId="0" fontId="13" fillId="0" borderId="10" xfId="1" applyFont="1" applyBorder="1" applyAlignment="1">
      <alignment horizontal="center" vertical="center" wrapText="1"/>
    </xf>
    <xf numFmtId="2" fontId="15" fillId="0" borderId="3" xfId="1" applyNumberFormat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right" vertical="center" indent="1"/>
    </xf>
    <xf numFmtId="4" fontId="4" fillId="0" borderId="9" xfId="2" applyNumberFormat="1" applyFont="1" applyBorder="1" applyAlignment="1">
      <alignment horizontal="center" vertical="center"/>
    </xf>
    <xf numFmtId="4" fontId="3" fillId="0" borderId="28" xfId="2" applyNumberFormat="1" applyFont="1" applyBorder="1" applyAlignment="1">
      <alignment horizontal="center" vertical="center"/>
    </xf>
    <xf numFmtId="3" fontId="13" fillId="0" borderId="8" xfId="1" applyNumberFormat="1" applyFont="1" applyBorder="1" applyAlignment="1">
      <alignment horizontal="center" vertical="center"/>
    </xf>
    <xf numFmtId="0" fontId="24" fillId="0" borderId="0" xfId="1" applyFont="1" applyAlignment="1">
      <alignment horizontal="left" vertical="center" indent="1"/>
    </xf>
    <xf numFmtId="0" fontId="15" fillId="0" borderId="0" xfId="1" applyFont="1" applyAlignment="1">
      <alignment horizontal="left" vertical="center" indent="3"/>
    </xf>
    <xf numFmtId="2" fontId="13" fillId="0" borderId="0" xfId="1" applyNumberFormat="1" applyFont="1" applyAlignment="1">
      <alignment horizontal="left" vertical="center" indent="1"/>
    </xf>
    <xf numFmtId="2" fontId="13" fillId="0" borderId="0" xfId="1" quotePrefix="1" applyNumberFormat="1" applyFont="1" applyAlignment="1">
      <alignment horizontal="left" vertical="center" indent="1"/>
    </xf>
    <xf numFmtId="0" fontId="24" fillId="0" borderId="10" xfId="1" applyFont="1" applyBorder="1" applyAlignment="1">
      <alignment horizontal="left" vertical="center" indent="1"/>
    </xf>
    <xf numFmtId="0" fontId="13" fillId="0" borderId="10" xfId="1" applyFont="1" applyBorder="1" applyAlignment="1">
      <alignment horizontal="left" vertical="center" indent="1"/>
    </xf>
    <xf numFmtId="4" fontId="13" fillId="0" borderId="8" xfId="1" applyNumberFormat="1" applyFont="1" applyBorder="1" applyAlignment="1">
      <alignment horizontal="left" vertical="center" indent="1"/>
    </xf>
    <xf numFmtId="2" fontId="24" fillId="0" borderId="0" xfId="1" applyNumberFormat="1" applyFont="1" applyAlignment="1">
      <alignment horizontal="left" vertical="center" indent="1"/>
    </xf>
    <xf numFmtId="0" fontId="27" fillId="0" borderId="0" xfId="1" applyFont="1" applyAlignment="1">
      <alignment horizontal="left" vertical="center" indent="1"/>
    </xf>
    <xf numFmtId="0" fontId="15" fillId="0" borderId="0" xfId="1" applyFont="1" applyAlignment="1">
      <alignment horizontal="left" vertical="center" indent="2"/>
    </xf>
    <xf numFmtId="1" fontId="13" fillId="0" borderId="0" xfId="1" applyNumberFormat="1" applyFont="1" applyAlignment="1">
      <alignment horizontal="center" vertical="center"/>
    </xf>
    <xf numFmtId="1" fontId="7" fillId="0" borderId="3" xfId="1" applyNumberFormat="1" applyFont="1" applyBorder="1" applyAlignment="1">
      <alignment horizontal="center" vertical="center"/>
    </xf>
    <xf numFmtId="0" fontId="4" fillId="0" borderId="0" xfId="2" applyFont="1" applyAlignment="1">
      <alignment horizontal="left" vertical="center" indent="3"/>
    </xf>
    <xf numFmtId="4" fontId="4" fillId="0" borderId="10" xfId="1" applyNumberFormat="1" applyFont="1" applyBorder="1" applyAlignment="1">
      <alignment horizontal="left" vertical="center" indent="1"/>
    </xf>
    <xf numFmtId="0" fontId="15" fillId="0" borderId="0" xfId="1" applyFont="1" applyAlignment="1">
      <alignment horizontal="left" vertical="center" indent="1"/>
    </xf>
    <xf numFmtId="4" fontId="13" fillId="0" borderId="1" xfId="1" applyNumberFormat="1" applyFont="1" applyBorder="1" applyAlignment="1">
      <alignment horizontal="center" vertical="center"/>
    </xf>
    <xf numFmtId="4" fontId="13" fillId="0" borderId="0" xfId="1" applyNumberFormat="1" applyFont="1" applyAlignment="1">
      <alignment horizontal="right" vertical="center" indent="1"/>
    </xf>
    <xf numFmtId="0" fontId="4" fillId="0" borderId="10" xfId="1" applyFont="1" applyBorder="1" applyAlignment="1">
      <alignment horizontal="left" vertical="center" wrapText="1" indent="1"/>
    </xf>
    <xf numFmtId="0" fontId="13" fillId="0" borderId="9" xfId="1" applyFont="1" applyBorder="1" applyAlignment="1">
      <alignment horizontal="left" vertical="center" wrapText="1" indent="2"/>
    </xf>
    <xf numFmtId="0" fontId="13" fillId="0" borderId="0" xfId="1" applyFont="1" applyAlignment="1">
      <alignment horizontal="left" vertical="center" wrapText="1" indent="1"/>
    </xf>
    <xf numFmtId="0" fontId="13" fillId="0" borderId="10" xfId="1" applyFont="1" applyBorder="1" applyAlignment="1">
      <alignment horizontal="left" vertical="center" wrapText="1" indent="1"/>
    </xf>
    <xf numFmtId="0" fontId="13" fillId="0" borderId="9" xfId="1" applyFont="1" applyBorder="1" applyAlignment="1">
      <alignment horizontal="left" vertical="center" wrapText="1" indent="1"/>
    </xf>
    <xf numFmtId="0" fontId="4" fillId="0" borderId="0" xfId="2" quotePrefix="1" applyFont="1" applyAlignment="1">
      <alignment horizontal="left" vertical="center" indent="1"/>
    </xf>
    <xf numFmtId="0" fontId="29" fillId="0" borderId="0" xfId="1" applyFont="1" applyAlignment="1">
      <alignment vertical="center"/>
    </xf>
    <xf numFmtId="0" fontId="13" fillId="0" borderId="10" xfId="1" applyFont="1" applyBorder="1" applyAlignment="1">
      <alignment horizontal="left" vertical="center" indent="2"/>
    </xf>
    <xf numFmtId="4" fontId="13" fillId="0" borderId="8" xfId="1" applyNumberFormat="1" applyFont="1" applyBorder="1" applyAlignment="1">
      <alignment horizontal="left" vertical="center" indent="2"/>
    </xf>
    <xf numFmtId="0" fontId="27" fillId="0" borderId="0" xfId="1" applyFont="1" applyAlignment="1">
      <alignment horizontal="left" vertical="center" indent="2"/>
    </xf>
    <xf numFmtId="0" fontId="24" fillId="0" borderId="0" xfId="1" applyFont="1" applyAlignment="1">
      <alignment horizontal="left" vertical="center" indent="2"/>
    </xf>
    <xf numFmtId="0" fontId="15" fillId="0" borderId="3" xfId="1" applyFont="1" applyBorder="1" applyAlignment="1">
      <alignment horizontal="center" vertical="center"/>
    </xf>
    <xf numFmtId="0" fontId="28" fillId="0" borderId="8" xfId="1" applyFont="1" applyBorder="1" applyAlignment="1">
      <alignment horizontal="center" vertical="center"/>
    </xf>
    <xf numFmtId="0" fontId="28" fillId="0" borderId="8" xfId="1" applyFont="1" applyBorder="1" applyAlignment="1">
      <alignment horizontal="left" vertical="center" indent="1"/>
    </xf>
    <xf numFmtId="0" fontId="28" fillId="0" borderId="8" xfId="1" applyFont="1" applyBorder="1" applyAlignment="1">
      <alignment horizontal="left" vertical="center" indent="2"/>
    </xf>
    <xf numFmtId="0" fontId="2" fillId="0" borderId="17" xfId="1" applyFont="1" applyBorder="1" applyAlignment="1">
      <alignment vertical="center"/>
    </xf>
    <xf numFmtId="0" fontId="8" fillId="0" borderId="0" xfId="1" applyFont="1" applyAlignment="1">
      <alignment horizontal="right" vertical="center" indent="3"/>
    </xf>
    <xf numFmtId="4" fontId="7" fillId="0" borderId="0" xfId="1" applyNumberFormat="1" applyFont="1" applyAlignment="1">
      <alignment horizontal="left" vertical="center" indent="1"/>
    </xf>
    <xf numFmtId="0" fontId="20" fillId="0" borderId="23" xfId="1" applyFont="1" applyBorder="1" applyAlignment="1">
      <alignment horizontal="center" vertical="center"/>
    </xf>
    <xf numFmtId="0" fontId="20" fillId="0" borderId="1" xfId="1" applyFont="1" applyBorder="1" applyAlignment="1">
      <alignment horizontal="center" vertical="center"/>
    </xf>
    <xf numFmtId="0" fontId="20" fillId="0" borderId="24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4" fontId="4" fillId="0" borderId="0" xfId="1" applyNumberFormat="1" applyFont="1" applyAlignment="1">
      <alignment horizontal="center" vertical="center" wrapText="1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left" vertical="center" wrapText="1" indent="2"/>
    </xf>
    <xf numFmtId="0" fontId="16" fillId="0" borderId="0" xfId="1" applyFont="1" applyAlignment="1">
      <alignment horizontal="center" vertical="center"/>
    </xf>
    <xf numFmtId="167" fontId="30" fillId="0" borderId="0" xfId="1" applyNumberFormat="1" applyFont="1" applyAlignment="1">
      <alignment horizontal="left" vertical="center"/>
    </xf>
    <xf numFmtId="0" fontId="10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19" fillId="0" borderId="21" xfId="1" applyFont="1" applyBorder="1" applyAlignment="1">
      <alignment horizontal="center" vertical="center"/>
    </xf>
    <xf numFmtId="0" fontId="19" fillId="0" borderId="3" xfId="1" applyFont="1" applyBorder="1" applyAlignment="1">
      <alignment horizontal="center" vertical="center"/>
    </xf>
    <xf numFmtId="0" fontId="19" fillId="0" borderId="22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4" fillId="0" borderId="9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10" xfId="1" applyFont="1" applyBorder="1" applyAlignment="1">
      <alignment horizontal="left" vertical="center" wrapText="1"/>
    </xf>
    <xf numFmtId="0" fontId="26" fillId="0" borderId="25" xfId="1" applyFont="1" applyBorder="1" applyAlignment="1">
      <alignment horizontal="center" vertical="center"/>
    </xf>
    <xf numFmtId="0" fontId="26" fillId="0" borderId="26" xfId="1" applyFont="1" applyBorder="1" applyAlignment="1">
      <alignment horizontal="center" vertical="center"/>
    </xf>
    <xf numFmtId="0" fontId="26" fillId="0" borderId="27" xfId="1" applyFont="1" applyBorder="1" applyAlignment="1">
      <alignment horizontal="center" vertical="center"/>
    </xf>
    <xf numFmtId="0" fontId="14" fillId="0" borderId="9" xfId="1" applyFont="1" applyBorder="1" applyAlignment="1">
      <alignment horizontal="center" vertical="center" wrapText="1"/>
    </xf>
    <xf numFmtId="0" fontId="14" fillId="0" borderId="0" xfId="1" applyFont="1" applyAlignment="1">
      <alignment horizontal="center" vertical="center"/>
    </xf>
    <xf numFmtId="0" fontId="14" fillId="0" borderId="10" xfId="1" applyFont="1" applyBorder="1" applyAlignment="1">
      <alignment horizontal="center" vertical="center"/>
    </xf>
    <xf numFmtId="0" fontId="4" fillId="0" borderId="9" xfId="1" applyFont="1" applyBorder="1" applyAlignment="1">
      <alignment horizontal="left" vertical="center" wrapText="1" indent="1"/>
    </xf>
    <xf numFmtId="0" fontId="4" fillId="0" borderId="0" xfId="1" applyFont="1" applyAlignment="1">
      <alignment horizontal="left" vertical="center" wrapText="1" indent="1"/>
    </xf>
    <xf numFmtId="0" fontId="4" fillId="0" borderId="10" xfId="1" applyFont="1" applyBorder="1" applyAlignment="1">
      <alignment horizontal="left" vertical="center" wrapText="1" indent="1"/>
    </xf>
    <xf numFmtId="0" fontId="5" fillId="0" borderId="25" xfId="1" applyFont="1" applyBorder="1" applyAlignment="1">
      <alignment horizontal="center" vertical="center"/>
    </xf>
    <xf numFmtId="0" fontId="5" fillId="0" borderId="26" xfId="1" applyFont="1" applyBorder="1" applyAlignment="1">
      <alignment horizontal="center" vertical="center"/>
    </xf>
    <xf numFmtId="0" fontId="5" fillId="0" borderId="27" xfId="1" applyFont="1" applyBorder="1" applyAlignment="1">
      <alignment horizontal="center" vertical="center"/>
    </xf>
  </cellXfs>
  <cellStyles count="7">
    <cellStyle name="Lien hypertexte 2" xfId="4" xr:uid="{1FB56F1E-AFE9-4CCF-9275-37B646BB8BF9}"/>
    <cellStyle name="Milliers 2" xfId="3" xr:uid="{6AF0C5AE-B30C-4C6C-909B-D625936235D5}"/>
    <cellStyle name="Milliers 3" xfId="5" xr:uid="{160E523A-2AC6-4A79-AA34-1B1882AA9AD9}"/>
    <cellStyle name="Normal" xfId="0" builtinId="0"/>
    <cellStyle name="Normal 2" xfId="1" xr:uid="{D1238F07-E13C-40A2-8D8D-DDC8D37B743D}"/>
    <cellStyle name="Normal 2 2" xfId="2" xr:uid="{C4453A24-F10F-46E4-A381-7FC0FA814277}"/>
    <cellStyle name="Normal 3" xfId="6" xr:uid="{60ACA3BE-8793-4467-823D-A6F0A805AA5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philippe.machefer@cpm-economistes.fr" TargetMode="External"/><Relationship Id="rId2" Type="http://schemas.openxmlformats.org/officeDocument/2006/relationships/hyperlink" Target="mailto:contact@cabinetvmh.com" TargetMode="External"/><Relationship Id="rId1" Type="http://schemas.openxmlformats.org/officeDocument/2006/relationships/hyperlink" Target="mailto:direction@cabinetponsot.fr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DF92CD-8673-46D4-A0BE-52A671580966}">
  <sheetPr>
    <pageSetUpPr fitToPage="1"/>
  </sheetPr>
  <dimension ref="A1:L28"/>
  <sheetViews>
    <sheetView showGridLines="0" showZeros="0" tabSelected="1" view="pageBreakPreview" zoomScaleNormal="100" zoomScaleSheetLayoutView="100" workbookViewId="0">
      <selection activeCell="C11" sqref="C11"/>
    </sheetView>
  </sheetViews>
  <sheetFormatPr baseColWidth="10" defaultColWidth="11.42578125" defaultRowHeight="12.75" x14ac:dyDescent="0.25"/>
  <cols>
    <col min="1" max="1" width="3.85546875" style="1" customWidth="1"/>
    <col min="2" max="2" width="4.42578125" style="1" hidden="1" customWidth="1"/>
    <col min="3" max="3" width="30.42578125" style="3" customWidth="1"/>
    <col min="4" max="4" width="7" style="4" customWidth="1"/>
    <col min="5" max="5" width="4.5703125" style="4" customWidth="1"/>
    <col min="6" max="6" width="7.85546875" style="4" customWidth="1"/>
    <col min="7" max="7" width="1.85546875" style="4" bestFit="1" customWidth="1"/>
    <col min="8" max="8" width="9.28515625" style="4" customWidth="1"/>
    <col min="9" max="9" width="4.85546875" style="5" customWidth="1"/>
    <col min="10" max="10" width="6.85546875" style="23" customWidth="1"/>
    <col min="11" max="11" width="9" style="27" customWidth="1"/>
    <col min="12" max="12" width="7" style="27" customWidth="1"/>
    <col min="13" max="16384" width="11.42578125" style="6"/>
  </cols>
  <sheetData>
    <row r="1" spans="1:12" ht="15" customHeight="1" x14ac:dyDescent="0.25">
      <c r="A1" s="220" t="s">
        <v>76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</row>
    <row r="2" spans="1:12" ht="15" customHeight="1" x14ac:dyDescent="0.25">
      <c r="A2" s="221" t="s">
        <v>77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</row>
    <row r="3" spans="1:12" ht="15" customHeight="1" x14ac:dyDescent="0.25">
      <c r="A3" s="221" t="s">
        <v>78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</row>
    <row r="4" spans="1:12" ht="15" customHeight="1" x14ac:dyDescent="0.25">
      <c r="A4" s="221" t="s">
        <v>79</v>
      </c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</row>
    <row r="5" spans="1:12" x14ac:dyDescent="0.25"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2" ht="69" customHeight="1" x14ac:dyDescent="0.25">
      <c r="A6" s="6"/>
      <c r="B6" s="55"/>
      <c r="C6" s="6"/>
      <c r="D6" s="6"/>
      <c r="E6" s="64"/>
      <c r="F6" s="64"/>
      <c r="G6" s="65"/>
      <c r="H6" s="6"/>
      <c r="I6" s="6"/>
      <c r="J6" s="66"/>
      <c r="K6" s="6"/>
      <c r="L6" s="6"/>
    </row>
    <row r="7" spans="1:12" x14ac:dyDescent="0.25">
      <c r="A7" s="214" t="s">
        <v>80</v>
      </c>
      <c r="B7" s="214"/>
      <c r="C7" s="214"/>
      <c r="D7" s="67"/>
      <c r="E7" s="67"/>
      <c r="F7" s="67" t="s">
        <v>81</v>
      </c>
      <c r="G7" s="67"/>
      <c r="H7" s="67"/>
      <c r="I7" s="67"/>
      <c r="K7" s="67" t="s">
        <v>82</v>
      </c>
      <c r="L7" s="67"/>
    </row>
    <row r="8" spans="1:12" x14ac:dyDescent="0.25">
      <c r="A8" s="216" t="s">
        <v>83</v>
      </c>
      <c r="B8" s="216"/>
      <c r="C8" s="216"/>
      <c r="D8" s="66"/>
      <c r="E8" s="66"/>
      <c r="F8" s="66" t="s">
        <v>84</v>
      </c>
      <c r="G8" s="66"/>
      <c r="H8" s="66"/>
      <c r="I8" s="66"/>
      <c r="K8" s="66" t="s">
        <v>85</v>
      </c>
      <c r="L8" s="66"/>
    </row>
    <row r="9" spans="1:12" ht="34.5" customHeight="1" x14ac:dyDescent="0.25">
      <c r="A9" s="55"/>
      <c r="B9" s="55"/>
      <c r="C9" s="6"/>
      <c r="D9" s="6"/>
      <c r="E9" s="68"/>
      <c r="F9" s="69"/>
      <c r="G9" s="68"/>
      <c r="H9" s="6"/>
      <c r="I9" s="6"/>
      <c r="J9" s="66"/>
      <c r="K9" s="6"/>
      <c r="L9" s="6"/>
    </row>
    <row r="10" spans="1:12" x14ac:dyDescent="0.25">
      <c r="A10" s="217" t="s">
        <v>438</v>
      </c>
      <c r="B10" s="217"/>
      <c r="C10" s="217"/>
      <c r="D10" s="217"/>
      <c r="E10" s="217"/>
      <c r="F10" s="217"/>
      <c r="G10" s="217"/>
      <c r="H10" s="217"/>
      <c r="I10" s="217"/>
      <c r="J10" s="217"/>
      <c r="K10" s="217"/>
      <c r="L10" s="217"/>
    </row>
    <row r="11" spans="1:12" ht="72.75" customHeight="1" x14ac:dyDescent="0.25">
      <c r="A11" s="6"/>
      <c r="B11" s="55"/>
      <c r="C11" s="6"/>
      <c r="D11" s="6"/>
      <c r="E11" s="64"/>
      <c r="F11" s="64"/>
      <c r="G11" s="65"/>
      <c r="H11" s="6"/>
      <c r="I11" s="6"/>
      <c r="J11" s="66"/>
      <c r="K11" s="6"/>
      <c r="L11" s="6"/>
    </row>
    <row r="12" spans="1:12" ht="14.25" x14ac:dyDescent="0.25">
      <c r="A12" s="218" t="s">
        <v>422</v>
      </c>
      <c r="B12" s="218"/>
      <c r="C12" s="218"/>
      <c r="D12" s="218"/>
      <c r="E12" s="218"/>
      <c r="F12" s="218"/>
      <c r="G12" s="218"/>
      <c r="H12" s="218"/>
      <c r="I12" s="218"/>
      <c r="J12" s="218"/>
      <c r="K12" s="218"/>
      <c r="L12" s="218"/>
    </row>
    <row r="13" spans="1:12" ht="15" x14ac:dyDescent="0.25">
      <c r="A13" s="6"/>
      <c r="B13" s="55"/>
      <c r="C13" s="6"/>
      <c r="D13" s="6"/>
      <c r="E13" s="64"/>
      <c r="F13" s="64"/>
      <c r="G13" s="65"/>
      <c r="H13" s="6"/>
      <c r="I13" s="70"/>
      <c r="J13" s="71"/>
      <c r="K13" s="219" t="s">
        <v>437</v>
      </c>
      <c r="L13" s="219"/>
    </row>
    <row r="14" spans="1:12" ht="33" customHeight="1" x14ac:dyDescent="0.25">
      <c r="A14" s="222" t="s">
        <v>444</v>
      </c>
      <c r="B14" s="223"/>
      <c r="C14" s="223"/>
      <c r="D14" s="223"/>
      <c r="E14" s="223"/>
      <c r="F14" s="223"/>
      <c r="G14" s="223"/>
      <c r="H14" s="223"/>
      <c r="I14" s="223"/>
      <c r="J14" s="223"/>
      <c r="K14" s="223"/>
      <c r="L14" s="224"/>
    </row>
    <row r="15" spans="1:12" ht="33" customHeight="1" x14ac:dyDescent="0.25">
      <c r="A15" s="211" t="s">
        <v>439</v>
      </c>
      <c r="B15" s="212"/>
      <c r="C15" s="212"/>
      <c r="D15" s="212"/>
      <c r="E15" s="212"/>
      <c r="F15" s="212"/>
      <c r="G15" s="212"/>
      <c r="H15" s="212"/>
      <c r="I15" s="212"/>
      <c r="J15" s="212"/>
      <c r="K15" s="212"/>
      <c r="L15" s="213"/>
    </row>
    <row r="16" spans="1:12" ht="181.9" customHeight="1" x14ac:dyDescent="0.25">
      <c r="A16" s="6"/>
      <c r="B16" s="55"/>
      <c r="C16" s="6"/>
      <c r="D16" s="6"/>
      <c r="E16" s="64"/>
      <c r="F16" s="64"/>
      <c r="G16" s="65"/>
      <c r="H16" s="6"/>
      <c r="I16" s="6"/>
      <c r="J16" s="66"/>
      <c r="K16" s="6"/>
      <c r="L16" s="6"/>
    </row>
    <row r="17" spans="1:12" ht="15.75" customHeight="1" x14ac:dyDescent="0.25">
      <c r="A17" s="214" t="s">
        <v>86</v>
      </c>
      <c r="B17" s="214"/>
      <c r="C17" s="214"/>
      <c r="D17" s="214"/>
      <c r="E17" s="214"/>
      <c r="F17" s="214"/>
      <c r="G17" s="214"/>
      <c r="H17" s="214"/>
      <c r="I17" s="214"/>
      <c r="J17" s="214"/>
      <c r="K17" s="214"/>
      <c r="L17" s="214"/>
    </row>
    <row r="18" spans="1:12" ht="15.75" customHeight="1" x14ac:dyDescent="0.25">
      <c r="A18" s="67"/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</row>
    <row r="19" spans="1:12" x14ac:dyDescent="0.25">
      <c r="A19" s="72" t="s">
        <v>87</v>
      </c>
      <c r="B19" s="73"/>
      <c r="C19" s="21"/>
      <c r="D19" s="74" t="s">
        <v>429</v>
      </c>
      <c r="E19" s="23"/>
      <c r="F19" s="23"/>
      <c r="G19" s="23"/>
      <c r="H19" s="23"/>
      <c r="I19" s="74" t="s">
        <v>423</v>
      </c>
      <c r="K19" s="23"/>
      <c r="L19" s="23"/>
    </row>
    <row r="20" spans="1:12" x14ac:dyDescent="0.25">
      <c r="A20" s="75" t="s">
        <v>88</v>
      </c>
      <c r="B20" s="52"/>
      <c r="C20" s="52"/>
      <c r="D20" s="76" t="s">
        <v>89</v>
      </c>
      <c r="E20" s="21"/>
      <c r="F20" s="21"/>
      <c r="G20" s="21"/>
      <c r="H20" s="21"/>
      <c r="I20" s="76" t="s">
        <v>424</v>
      </c>
      <c r="J20" s="21"/>
      <c r="K20" s="21"/>
      <c r="L20" s="21"/>
    </row>
    <row r="21" spans="1:12" x14ac:dyDescent="0.25">
      <c r="A21" s="24" t="s">
        <v>188</v>
      </c>
      <c r="B21" s="48"/>
      <c r="C21" s="48"/>
      <c r="D21" s="43" t="s">
        <v>90</v>
      </c>
      <c r="E21" s="23"/>
      <c r="F21" s="23"/>
      <c r="G21" s="23"/>
      <c r="H21" s="23"/>
      <c r="I21" s="43" t="s">
        <v>425</v>
      </c>
      <c r="K21" s="23"/>
      <c r="L21" s="23"/>
    </row>
    <row r="22" spans="1:12" x14ac:dyDescent="0.25">
      <c r="A22" s="24" t="s">
        <v>189</v>
      </c>
      <c r="B22" s="48"/>
      <c r="C22" s="48"/>
      <c r="D22" s="43" t="s">
        <v>91</v>
      </c>
      <c r="E22" s="23"/>
      <c r="F22" s="23"/>
      <c r="G22" s="23"/>
      <c r="H22" s="23"/>
      <c r="I22" s="43" t="s">
        <v>426</v>
      </c>
      <c r="K22" s="23"/>
      <c r="L22" s="23"/>
    </row>
    <row r="23" spans="1:12" x14ac:dyDescent="0.25">
      <c r="A23" s="24" t="s">
        <v>92</v>
      </c>
      <c r="B23" s="48"/>
      <c r="C23" s="48"/>
      <c r="D23" s="43" t="s">
        <v>93</v>
      </c>
      <c r="E23" s="23"/>
      <c r="F23" s="23"/>
      <c r="G23" s="23"/>
      <c r="H23" s="23"/>
      <c r="I23" s="43" t="s">
        <v>427</v>
      </c>
      <c r="K23" s="23"/>
      <c r="L23" s="23"/>
    </row>
    <row r="24" spans="1:12" x14ac:dyDescent="0.25">
      <c r="A24" s="24" t="s">
        <v>190</v>
      </c>
      <c r="B24" s="48"/>
      <c r="C24" s="43"/>
      <c r="D24" s="43" t="s">
        <v>182</v>
      </c>
      <c r="E24" s="23"/>
      <c r="F24" s="23"/>
      <c r="G24" s="23"/>
      <c r="H24" s="23"/>
      <c r="I24" s="43" t="s">
        <v>428</v>
      </c>
      <c r="K24" s="23"/>
      <c r="L24" s="23"/>
    </row>
    <row r="25" spans="1:12" ht="9" customHeight="1" x14ac:dyDescent="0.25">
      <c r="A25" s="77"/>
      <c r="B25" s="48"/>
      <c r="C25" s="23"/>
      <c r="D25" s="23"/>
      <c r="E25" s="23"/>
      <c r="F25" s="23"/>
      <c r="G25" s="78"/>
      <c r="H25" s="23"/>
      <c r="I25" s="48"/>
      <c r="K25" s="23"/>
      <c r="L25" s="48"/>
    </row>
    <row r="26" spans="1:12" ht="22.5" customHeight="1" x14ac:dyDescent="0.25">
      <c r="C26" s="79"/>
    </row>
    <row r="27" spans="1:12" s="23" customFormat="1" ht="21" customHeight="1" x14ac:dyDescent="0.25">
      <c r="A27" s="80"/>
      <c r="B27" s="42"/>
      <c r="C27" s="81">
        <f>+A37</f>
        <v>0</v>
      </c>
      <c r="D27" s="81"/>
      <c r="E27" s="81"/>
      <c r="F27" s="215"/>
      <c r="G27" s="215"/>
      <c r="H27" s="81"/>
    </row>
    <row r="28" spans="1:12" ht="9.75" customHeight="1" x14ac:dyDescent="0.25">
      <c r="C28" s="1"/>
      <c r="I28" s="1"/>
      <c r="J28" s="1"/>
      <c r="K28" s="4"/>
      <c r="L28" s="4"/>
    </row>
  </sheetData>
  <mergeCells count="13">
    <mergeCell ref="A1:L1"/>
    <mergeCell ref="A2:L2"/>
    <mergeCell ref="A3:L3"/>
    <mergeCell ref="A4:L4"/>
    <mergeCell ref="A14:L14"/>
    <mergeCell ref="A15:L15"/>
    <mergeCell ref="A17:L17"/>
    <mergeCell ref="F27:G27"/>
    <mergeCell ref="A7:C7"/>
    <mergeCell ref="A8:C8"/>
    <mergeCell ref="A10:L10"/>
    <mergeCell ref="A12:L12"/>
    <mergeCell ref="K13:L13"/>
  </mergeCells>
  <hyperlinks>
    <hyperlink ref="A24" r:id="rId1" xr:uid="{BECF8195-6B84-4209-BBAA-4D9170440A4E}"/>
    <hyperlink ref="D24" r:id="rId2" xr:uid="{D7C03266-42CE-4A67-9550-E3B11E7DE10C}"/>
    <hyperlink ref="I24" r:id="rId3" xr:uid="{E9ADD83D-5A90-45ED-A216-FC8E746EA494}"/>
  </hyperlinks>
  <printOptions horizontalCentered="1"/>
  <pageMargins left="0.39370078740157483" right="0.39370078740157483" top="0.55118110236220474" bottom="0.74803149606299213" header="0.19685039370078741" footer="0.19685039370078741"/>
  <pageSetup paperSize="9" fitToHeight="0" orientation="portrait" r:id="rId4"/>
  <headerFooter differentFirst="1" scaleWithDoc="0">
    <oddHeader>&amp;L&amp;"Arial,Normal"&amp;6 77 - Château de Fontainebleau&amp;C&amp;"Arial,Normal"&amp;6Aile des ministres - Restauration des couvertures de la partie est&amp;R&amp;"Arial,Normal"&amp;6Lot 2 Couverture</oddHeader>
    <oddFooter>&amp;C&amp;"Arial,Normal"&amp;6Document classé Interne – Toute reproduction ou transmission en dehors des destinataires autorisés est strictement interdite. © Château de Fontainebleau_x000D_&amp;1#&amp;"Calibri"&amp;8&amp;K000000 Document classé Interne – Tout&amp;R&amp;"Arial,Normal"&amp;6Page &amp;P/&amp;N</oddFooter>
    <firstFooter>&amp;C&amp;"Arial,Normal"&amp;6Document classé Interne – Toute reproduction ou transmission en dehors des destinataires autorisés est strictement interdite. © Château de Fontainebleau_x000D_&amp;1#&amp;"Calibri"&amp;8&amp;K000000 Document classé Interne – Toute reproduction ou transmissio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4769C5-7BA0-44C9-9C67-8E8EC2C59394}">
  <sheetPr>
    <outlinePr summaryBelow="0"/>
    <pageSetUpPr fitToPage="1"/>
  </sheetPr>
  <dimension ref="A1:T906"/>
  <sheetViews>
    <sheetView showGridLines="0" showZeros="0" view="pageLayout" zoomScaleNormal="100" zoomScaleSheetLayoutView="100" workbookViewId="0">
      <selection activeCell="N657" sqref="N657"/>
    </sheetView>
  </sheetViews>
  <sheetFormatPr baseColWidth="10" defaultRowHeight="12.75" outlineLevelRow="1" x14ac:dyDescent="0.25"/>
  <cols>
    <col min="1" max="1" width="4.140625" style="1" customWidth="1"/>
    <col min="2" max="2" width="5.140625" style="1" customWidth="1"/>
    <col min="3" max="3" width="34" style="3" customWidth="1"/>
    <col min="4" max="4" width="2.85546875" style="2" customWidth="1"/>
    <col min="5" max="5" width="5.85546875" style="2" customWidth="1"/>
    <col min="6" max="6" width="2.7109375" style="2" customWidth="1"/>
    <col min="7" max="7" width="6.42578125" style="2" customWidth="1"/>
    <col min="8" max="8" width="2.7109375" style="2" customWidth="1"/>
    <col min="9" max="9" width="7" style="2" customWidth="1"/>
    <col min="10" max="10" width="3.28515625" style="2" customWidth="1"/>
    <col min="11" max="11" width="5.5703125" style="5" customWidth="1"/>
    <col min="12" max="12" width="7.7109375" style="23" customWidth="1"/>
    <col min="13" max="13" width="8.7109375" style="22" customWidth="1"/>
    <col min="14" max="14" width="12.7109375" style="22" customWidth="1"/>
    <col min="15" max="15" width="11.42578125" style="6"/>
    <col min="16" max="16" width="11.7109375" style="6" customWidth="1"/>
    <col min="17" max="17" width="2.85546875" style="6" customWidth="1"/>
    <col min="18" max="21" width="7.42578125" style="6" customWidth="1"/>
    <col min="22" max="254" width="11.42578125" style="6"/>
    <col min="255" max="255" width="2.42578125" style="6" customWidth="1"/>
    <col min="256" max="256" width="4.42578125" style="6" customWidth="1"/>
    <col min="257" max="257" width="34.140625" style="6" customWidth="1"/>
    <col min="258" max="258" width="2.85546875" style="6" customWidth="1"/>
    <col min="259" max="259" width="5.85546875" style="6" customWidth="1"/>
    <col min="260" max="260" width="2.42578125" style="6" customWidth="1"/>
    <col min="261" max="261" width="6.42578125" style="6" customWidth="1"/>
    <col min="262" max="262" width="2.42578125" style="6" customWidth="1"/>
    <col min="263" max="263" width="7.140625" style="6" customWidth="1"/>
    <col min="264" max="264" width="3.7109375" style="6" customWidth="1"/>
    <col min="265" max="265" width="6.7109375" style="6" customWidth="1"/>
    <col min="266" max="266" width="7.7109375" style="6" customWidth="1"/>
    <col min="267" max="267" width="9.85546875" style="6" customWidth="1"/>
    <col min="268" max="268" width="6.7109375" style="6" customWidth="1"/>
    <col min="269" max="269" width="7.7109375" style="6" customWidth="1"/>
    <col min="270" max="270" width="9.85546875" style="6" customWidth="1"/>
    <col min="271" max="510" width="11.42578125" style="6"/>
    <col min="511" max="511" width="2.42578125" style="6" customWidth="1"/>
    <col min="512" max="512" width="4.42578125" style="6" customWidth="1"/>
    <col min="513" max="513" width="34.140625" style="6" customWidth="1"/>
    <col min="514" max="514" width="2.85546875" style="6" customWidth="1"/>
    <col min="515" max="515" width="5.85546875" style="6" customWidth="1"/>
    <col min="516" max="516" width="2.42578125" style="6" customWidth="1"/>
    <col min="517" max="517" width="6.42578125" style="6" customWidth="1"/>
    <col min="518" max="518" width="2.42578125" style="6" customWidth="1"/>
    <col min="519" max="519" width="7.140625" style="6" customWidth="1"/>
    <col min="520" max="520" width="3.7109375" style="6" customWidth="1"/>
    <col min="521" max="521" width="6.7109375" style="6" customWidth="1"/>
    <col min="522" max="522" width="7.7109375" style="6" customWidth="1"/>
    <col min="523" max="523" width="9.85546875" style="6" customWidth="1"/>
    <col min="524" max="524" width="6.7109375" style="6" customWidth="1"/>
    <col min="525" max="525" width="7.7109375" style="6" customWidth="1"/>
    <col min="526" max="526" width="9.85546875" style="6" customWidth="1"/>
    <col min="527" max="766" width="11.42578125" style="6"/>
    <col min="767" max="767" width="2.42578125" style="6" customWidth="1"/>
    <col min="768" max="768" width="4.42578125" style="6" customWidth="1"/>
    <col min="769" max="769" width="34.140625" style="6" customWidth="1"/>
    <col min="770" max="770" width="2.85546875" style="6" customWidth="1"/>
    <col min="771" max="771" width="5.85546875" style="6" customWidth="1"/>
    <col min="772" max="772" width="2.42578125" style="6" customWidth="1"/>
    <col min="773" max="773" width="6.42578125" style="6" customWidth="1"/>
    <col min="774" max="774" width="2.42578125" style="6" customWidth="1"/>
    <col min="775" max="775" width="7.140625" style="6" customWidth="1"/>
    <col min="776" max="776" width="3.7109375" style="6" customWidth="1"/>
    <col min="777" max="777" width="6.7109375" style="6" customWidth="1"/>
    <col min="778" max="778" width="7.7109375" style="6" customWidth="1"/>
    <col min="779" max="779" width="9.85546875" style="6" customWidth="1"/>
    <col min="780" max="780" width="6.7109375" style="6" customWidth="1"/>
    <col min="781" max="781" width="7.7109375" style="6" customWidth="1"/>
    <col min="782" max="782" width="9.85546875" style="6" customWidth="1"/>
    <col min="783" max="1022" width="11.42578125" style="6"/>
    <col min="1023" max="1023" width="2.42578125" style="6" customWidth="1"/>
    <col min="1024" max="1024" width="4.42578125" style="6" customWidth="1"/>
    <col min="1025" max="1025" width="34.140625" style="6" customWidth="1"/>
    <col min="1026" max="1026" width="2.85546875" style="6" customWidth="1"/>
    <col min="1027" max="1027" width="5.85546875" style="6" customWidth="1"/>
    <col min="1028" max="1028" width="2.42578125" style="6" customWidth="1"/>
    <col min="1029" max="1029" width="6.42578125" style="6" customWidth="1"/>
    <col min="1030" max="1030" width="2.42578125" style="6" customWidth="1"/>
    <col min="1031" max="1031" width="7.140625" style="6" customWidth="1"/>
    <col min="1032" max="1032" width="3.7109375" style="6" customWidth="1"/>
    <col min="1033" max="1033" width="6.7109375" style="6" customWidth="1"/>
    <col min="1034" max="1034" width="7.7109375" style="6" customWidth="1"/>
    <col min="1035" max="1035" width="9.85546875" style="6" customWidth="1"/>
    <col min="1036" max="1036" width="6.7109375" style="6" customWidth="1"/>
    <col min="1037" max="1037" width="7.7109375" style="6" customWidth="1"/>
    <col min="1038" max="1038" width="9.85546875" style="6" customWidth="1"/>
    <col min="1039" max="1278" width="11.42578125" style="6"/>
    <col min="1279" max="1279" width="2.42578125" style="6" customWidth="1"/>
    <col min="1280" max="1280" width="4.42578125" style="6" customWidth="1"/>
    <col min="1281" max="1281" width="34.140625" style="6" customWidth="1"/>
    <col min="1282" max="1282" width="2.85546875" style="6" customWidth="1"/>
    <col min="1283" max="1283" width="5.85546875" style="6" customWidth="1"/>
    <col min="1284" max="1284" width="2.42578125" style="6" customWidth="1"/>
    <col min="1285" max="1285" width="6.42578125" style="6" customWidth="1"/>
    <col min="1286" max="1286" width="2.42578125" style="6" customWidth="1"/>
    <col min="1287" max="1287" width="7.140625" style="6" customWidth="1"/>
    <col min="1288" max="1288" width="3.7109375" style="6" customWidth="1"/>
    <col min="1289" max="1289" width="6.7109375" style="6" customWidth="1"/>
    <col min="1290" max="1290" width="7.7109375" style="6" customWidth="1"/>
    <col min="1291" max="1291" width="9.85546875" style="6" customWidth="1"/>
    <col min="1292" max="1292" width="6.7109375" style="6" customWidth="1"/>
    <col min="1293" max="1293" width="7.7109375" style="6" customWidth="1"/>
    <col min="1294" max="1294" width="9.85546875" style="6" customWidth="1"/>
    <col min="1295" max="1534" width="11.42578125" style="6"/>
    <col min="1535" max="1535" width="2.42578125" style="6" customWidth="1"/>
    <col min="1536" max="1536" width="4.42578125" style="6" customWidth="1"/>
    <col min="1537" max="1537" width="34.140625" style="6" customWidth="1"/>
    <col min="1538" max="1538" width="2.85546875" style="6" customWidth="1"/>
    <col min="1539" max="1539" width="5.85546875" style="6" customWidth="1"/>
    <col min="1540" max="1540" width="2.42578125" style="6" customWidth="1"/>
    <col min="1541" max="1541" width="6.42578125" style="6" customWidth="1"/>
    <col min="1542" max="1542" width="2.42578125" style="6" customWidth="1"/>
    <col min="1543" max="1543" width="7.140625" style="6" customWidth="1"/>
    <col min="1544" max="1544" width="3.7109375" style="6" customWidth="1"/>
    <col min="1545" max="1545" width="6.7109375" style="6" customWidth="1"/>
    <col min="1546" max="1546" width="7.7109375" style="6" customWidth="1"/>
    <col min="1547" max="1547" width="9.85546875" style="6" customWidth="1"/>
    <col min="1548" max="1548" width="6.7109375" style="6" customWidth="1"/>
    <col min="1549" max="1549" width="7.7109375" style="6" customWidth="1"/>
    <col min="1550" max="1550" width="9.85546875" style="6" customWidth="1"/>
    <col min="1551" max="1790" width="11.42578125" style="6"/>
    <col min="1791" max="1791" width="2.42578125" style="6" customWidth="1"/>
    <col min="1792" max="1792" width="4.42578125" style="6" customWidth="1"/>
    <col min="1793" max="1793" width="34.140625" style="6" customWidth="1"/>
    <col min="1794" max="1794" width="2.85546875" style="6" customWidth="1"/>
    <col min="1795" max="1795" width="5.85546875" style="6" customWidth="1"/>
    <col min="1796" max="1796" width="2.42578125" style="6" customWidth="1"/>
    <col min="1797" max="1797" width="6.42578125" style="6" customWidth="1"/>
    <col min="1798" max="1798" width="2.42578125" style="6" customWidth="1"/>
    <col min="1799" max="1799" width="7.140625" style="6" customWidth="1"/>
    <col min="1800" max="1800" width="3.7109375" style="6" customWidth="1"/>
    <col min="1801" max="1801" width="6.7109375" style="6" customWidth="1"/>
    <col min="1802" max="1802" width="7.7109375" style="6" customWidth="1"/>
    <col min="1803" max="1803" width="9.85546875" style="6" customWidth="1"/>
    <col min="1804" max="1804" width="6.7109375" style="6" customWidth="1"/>
    <col min="1805" max="1805" width="7.7109375" style="6" customWidth="1"/>
    <col min="1806" max="1806" width="9.85546875" style="6" customWidth="1"/>
    <col min="1807" max="2046" width="11.42578125" style="6"/>
    <col min="2047" max="2047" width="2.42578125" style="6" customWidth="1"/>
    <col min="2048" max="2048" width="4.42578125" style="6" customWidth="1"/>
    <col min="2049" max="2049" width="34.140625" style="6" customWidth="1"/>
    <col min="2050" max="2050" width="2.85546875" style="6" customWidth="1"/>
    <col min="2051" max="2051" width="5.85546875" style="6" customWidth="1"/>
    <col min="2052" max="2052" width="2.42578125" style="6" customWidth="1"/>
    <col min="2053" max="2053" width="6.42578125" style="6" customWidth="1"/>
    <col min="2054" max="2054" width="2.42578125" style="6" customWidth="1"/>
    <col min="2055" max="2055" width="7.140625" style="6" customWidth="1"/>
    <col min="2056" max="2056" width="3.7109375" style="6" customWidth="1"/>
    <col min="2057" max="2057" width="6.7109375" style="6" customWidth="1"/>
    <col min="2058" max="2058" width="7.7109375" style="6" customWidth="1"/>
    <col min="2059" max="2059" width="9.85546875" style="6" customWidth="1"/>
    <col min="2060" max="2060" width="6.7109375" style="6" customWidth="1"/>
    <col min="2061" max="2061" width="7.7109375" style="6" customWidth="1"/>
    <col min="2062" max="2062" width="9.85546875" style="6" customWidth="1"/>
    <col min="2063" max="2302" width="11.42578125" style="6"/>
    <col min="2303" max="2303" width="2.42578125" style="6" customWidth="1"/>
    <col min="2304" max="2304" width="4.42578125" style="6" customWidth="1"/>
    <col min="2305" max="2305" width="34.140625" style="6" customWidth="1"/>
    <col min="2306" max="2306" width="2.85546875" style="6" customWidth="1"/>
    <col min="2307" max="2307" width="5.85546875" style="6" customWidth="1"/>
    <col min="2308" max="2308" width="2.42578125" style="6" customWidth="1"/>
    <col min="2309" max="2309" width="6.42578125" style="6" customWidth="1"/>
    <col min="2310" max="2310" width="2.42578125" style="6" customWidth="1"/>
    <col min="2311" max="2311" width="7.140625" style="6" customWidth="1"/>
    <col min="2312" max="2312" width="3.7109375" style="6" customWidth="1"/>
    <col min="2313" max="2313" width="6.7109375" style="6" customWidth="1"/>
    <col min="2314" max="2314" width="7.7109375" style="6" customWidth="1"/>
    <col min="2315" max="2315" width="9.85546875" style="6" customWidth="1"/>
    <col min="2316" max="2316" width="6.7109375" style="6" customWidth="1"/>
    <col min="2317" max="2317" width="7.7109375" style="6" customWidth="1"/>
    <col min="2318" max="2318" width="9.85546875" style="6" customWidth="1"/>
    <col min="2319" max="2558" width="11.42578125" style="6"/>
    <col min="2559" max="2559" width="2.42578125" style="6" customWidth="1"/>
    <col min="2560" max="2560" width="4.42578125" style="6" customWidth="1"/>
    <col min="2561" max="2561" width="34.140625" style="6" customWidth="1"/>
    <col min="2562" max="2562" width="2.85546875" style="6" customWidth="1"/>
    <col min="2563" max="2563" width="5.85546875" style="6" customWidth="1"/>
    <col min="2564" max="2564" width="2.42578125" style="6" customWidth="1"/>
    <col min="2565" max="2565" width="6.42578125" style="6" customWidth="1"/>
    <col min="2566" max="2566" width="2.42578125" style="6" customWidth="1"/>
    <col min="2567" max="2567" width="7.140625" style="6" customWidth="1"/>
    <col min="2568" max="2568" width="3.7109375" style="6" customWidth="1"/>
    <col min="2569" max="2569" width="6.7109375" style="6" customWidth="1"/>
    <col min="2570" max="2570" width="7.7109375" style="6" customWidth="1"/>
    <col min="2571" max="2571" width="9.85546875" style="6" customWidth="1"/>
    <col min="2572" max="2572" width="6.7109375" style="6" customWidth="1"/>
    <col min="2573" max="2573" width="7.7109375" style="6" customWidth="1"/>
    <col min="2574" max="2574" width="9.85546875" style="6" customWidth="1"/>
    <col min="2575" max="2814" width="11.42578125" style="6"/>
    <col min="2815" max="2815" width="2.42578125" style="6" customWidth="1"/>
    <col min="2816" max="2816" width="4.42578125" style="6" customWidth="1"/>
    <col min="2817" max="2817" width="34.140625" style="6" customWidth="1"/>
    <col min="2818" max="2818" width="2.85546875" style="6" customWidth="1"/>
    <col min="2819" max="2819" width="5.85546875" style="6" customWidth="1"/>
    <col min="2820" max="2820" width="2.42578125" style="6" customWidth="1"/>
    <col min="2821" max="2821" width="6.42578125" style="6" customWidth="1"/>
    <col min="2822" max="2822" width="2.42578125" style="6" customWidth="1"/>
    <col min="2823" max="2823" width="7.140625" style="6" customWidth="1"/>
    <col min="2824" max="2824" width="3.7109375" style="6" customWidth="1"/>
    <col min="2825" max="2825" width="6.7109375" style="6" customWidth="1"/>
    <col min="2826" max="2826" width="7.7109375" style="6" customWidth="1"/>
    <col min="2827" max="2827" width="9.85546875" style="6" customWidth="1"/>
    <col min="2828" max="2828" width="6.7109375" style="6" customWidth="1"/>
    <col min="2829" max="2829" width="7.7109375" style="6" customWidth="1"/>
    <col min="2830" max="2830" width="9.85546875" style="6" customWidth="1"/>
    <col min="2831" max="3070" width="11.42578125" style="6"/>
    <col min="3071" max="3071" width="2.42578125" style="6" customWidth="1"/>
    <col min="3072" max="3072" width="4.42578125" style="6" customWidth="1"/>
    <col min="3073" max="3073" width="34.140625" style="6" customWidth="1"/>
    <col min="3074" max="3074" width="2.85546875" style="6" customWidth="1"/>
    <col min="3075" max="3075" width="5.85546875" style="6" customWidth="1"/>
    <col min="3076" max="3076" width="2.42578125" style="6" customWidth="1"/>
    <col min="3077" max="3077" width="6.42578125" style="6" customWidth="1"/>
    <col min="3078" max="3078" width="2.42578125" style="6" customWidth="1"/>
    <col min="3079" max="3079" width="7.140625" style="6" customWidth="1"/>
    <col min="3080" max="3080" width="3.7109375" style="6" customWidth="1"/>
    <col min="3081" max="3081" width="6.7109375" style="6" customWidth="1"/>
    <col min="3082" max="3082" width="7.7109375" style="6" customWidth="1"/>
    <col min="3083" max="3083" width="9.85546875" style="6" customWidth="1"/>
    <col min="3084" max="3084" width="6.7109375" style="6" customWidth="1"/>
    <col min="3085" max="3085" width="7.7109375" style="6" customWidth="1"/>
    <col min="3086" max="3086" width="9.85546875" style="6" customWidth="1"/>
    <col min="3087" max="3326" width="11.42578125" style="6"/>
    <col min="3327" max="3327" width="2.42578125" style="6" customWidth="1"/>
    <col min="3328" max="3328" width="4.42578125" style="6" customWidth="1"/>
    <col min="3329" max="3329" width="34.140625" style="6" customWidth="1"/>
    <col min="3330" max="3330" width="2.85546875" style="6" customWidth="1"/>
    <col min="3331" max="3331" width="5.85546875" style="6" customWidth="1"/>
    <col min="3332" max="3332" width="2.42578125" style="6" customWidth="1"/>
    <col min="3333" max="3333" width="6.42578125" style="6" customWidth="1"/>
    <col min="3334" max="3334" width="2.42578125" style="6" customWidth="1"/>
    <col min="3335" max="3335" width="7.140625" style="6" customWidth="1"/>
    <col min="3336" max="3336" width="3.7109375" style="6" customWidth="1"/>
    <col min="3337" max="3337" width="6.7109375" style="6" customWidth="1"/>
    <col min="3338" max="3338" width="7.7109375" style="6" customWidth="1"/>
    <col min="3339" max="3339" width="9.85546875" style="6" customWidth="1"/>
    <col min="3340" max="3340" width="6.7109375" style="6" customWidth="1"/>
    <col min="3341" max="3341" width="7.7109375" style="6" customWidth="1"/>
    <col min="3342" max="3342" width="9.85546875" style="6" customWidth="1"/>
    <col min="3343" max="3582" width="11.42578125" style="6"/>
    <col min="3583" max="3583" width="2.42578125" style="6" customWidth="1"/>
    <col min="3584" max="3584" width="4.42578125" style="6" customWidth="1"/>
    <col min="3585" max="3585" width="34.140625" style="6" customWidth="1"/>
    <col min="3586" max="3586" width="2.85546875" style="6" customWidth="1"/>
    <col min="3587" max="3587" width="5.85546875" style="6" customWidth="1"/>
    <col min="3588" max="3588" width="2.42578125" style="6" customWidth="1"/>
    <col min="3589" max="3589" width="6.42578125" style="6" customWidth="1"/>
    <col min="3590" max="3590" width="2.42578125" style="6" customWidth="1"/>
    <col min="3591" max="3591" width="7.140625" style="6" customWidth="1"/>
    <col min="3592" max="3592" width="3.7109375" style="6" customWidth="1"/>
    <col min="3593" max="3593" width="6.7109375" style="6" customWidth="1"/>
    <col min="3594" max="3594" width="7.7109375" style="6" customWidth="1"/>
    <col min="3595" max="3595" width="9.85546875" style="6" customWidth="1"/>
    <col min="3596" max="3596" width="6.7109375" style="6" customWidth="1"/>
    <col min="3597" max="3597" width="7.7109375" style="6" customWidth="1"/>
    <col min="3598" max="3598" width="9.85546875" style="6" customWidth="1"/>
    <col min="3599" max="3838" width="11.42578125" style="6"/>
    <col min="3839" max="3839" width="2.42578125" style="6" customWidth="1"/>
    <col min="3840" max="3840" width="4.42578125" style="6" customWidth="1"/>
    <col min="3841" max="3841" width="34.140625" style="6" customWidth="1"/>
    <col min="3842" max="3842" width="2.85546875" style="6" customWidth="1"/>
    <col min="3843" max="3843" width="5.85546875" style="6" customWidth="1"/>
    <col min="3844" max="3844" width="2.42578125" style="6" customWidth="1"/>
    <col min="3845" max="3845" width="6.42578125" style="6" customWidth="1"/>
    <col min="3846" max="3846" width="2.42578125" style="6" customWidth="1"/>
    <col min="3847" max="3847" width="7.140625" style="6" customWidth="1"/>
    <col min="3848" max="3848" width="3.7109375" style="6" customWidth="1"/>
    <col min="3849" max="3849" width="6.7109375" style="6" customWidth="1"/>
    <col min="3850" max="3850" width="7.7109375" style="6" customWidth="1"/>
    <col min="3851" max="3851" width="9.85546875" style="6" customWidth="1"/>
    <col min="3852" max="3852" width="6.7109375" style="6" customWidth="1"/>
    <col min="3853" max="3853" width="7.7109375" style="6" customWidth="1"/>
    <col min="3854" max="3854" width="9.85546875" style="6" customWidth="1"/>
    <col min="3855" max="4094" width="11.42578125" style="6"/>
    <col min="4095" max="4095" width="2.42578125" style="6" customWidth="1"/>
    <col min="4096" max="4096" width="4.42578125" style="6" customWidth="1"/>
    <col min="4097" max="4097" width="34.140625" style="6" customWidth="1"/>
    <col min="4098" max="4098" width="2.85546875" style="6" customWidth="1"/>
    <col min="4099" max="4099" width="5.85546875" style="6" customWidth="1"/>
    <col min="4100" max="4100" width="2.42578125" style="6" customWidth="1"/>
    <col min="4101" max="4101" width="6.42578125" style="6" customWidth="1"/>
    <col min="4102" max="4102" width="2.42578125" style="6" customWidth="1"/>
    <col min="4103" max="4103" width="7.140625" style="6" customWidth="1"/>
    <col min="4104" max="4104" width="3.7109375" style="6" customWidth="1"/>
    <col min="4105" max="4105" width="6.7109375" style="6" customWidth="1"/>
    <col min="4106" max="4106" width="7.7109375" style="6" customWidth="1"/>
    <col min="4107" max="4107" width="9.85546875" style="6" customWidth="1"/>
    <col min="4108" max="4108" width="6.7109375" style="6" customWidth="1"/>
    <col min="4109" max="4109" width="7.7109375" style="6" customWidth="1"/>
    <col min="4110" max="4110" width="9.85546875" style="6" customWidth="1"/>
    <col min="4111" max="4350" width="11.42578125" style="6"/>
    <col min="4351" max="4351" width="2.42578125" style="6" customWidth="1"/>
    <col min="4352" max="4352" width="4.42578125" style="6" customWidth="1"/>
    <col min="4353" max="4353" width="34.140625" style="6" customWidth="1"/>
    <col min="4354" max="4354" width="2.85546875" style="6" customWidth="1"/>
    <col min="4355" max="4355" width="5.85546875" style="6" customWidth="1"/>
    <col min="4356" max="4356" width="2.42578125" style="6" customWidth="1"/>
    <col min="4357" max="4357" width="6.42578125" style="6" customWidth="1"/>
    <col min="4358" max="4358" width="2.42578125" style="6" customWidth="1"/>
    <col min="4359" max="4359" width="7.140625" style="6" customWidth="1"/>
    <col min="4360" max="4360" width="3.7109375" style="6" customWidth="1"/>
    <col min="4361" max="4361" width="6.7109375" style="6" customWidth="1"/>
    <col min="4362" max="4362" width="7.7109375" style="6" customWidth="1"/>
    <col min="4363" max="4363" width="9.85546875" style="6" customWidth="1"/>
    <col min="4364" max="4364" width="6.7109375" style="6" customWidth="1"/>
    <col min="4365" max="4365" width="7.7109375" style="6" customWidth="1"/>
    <col min="4366" max="4366" width="9.85546875" style="6" customWidth="1"/>
    <col min="4367" max="4606" width="11.42578125" style="6"/>
    <col min="4607" max="4607" width="2.42578125" style="6" customWidth="1"/>
    <col min="4608" max="4608" width="4.42578125" style="6" customWidth="1"/>
    <col min="4609" max="4609" width="34.140625" style="6" customWidth="1"/>
    <col min="4610" max="4610" width="2.85546875" style="6" customWidth="1"/>
    <col min="4611" max="4611" width="5.85546875" style="6" customWidth="1"/>
    <col min="4612" max="4612" width="2.42578125" style="6" customWidth="1"/>
    <col min="4613" max="4613" width="6.42578125" style="6" customWidth="1"/>
    <col min="4614" max="4614" width="2.42578125" style="6" customWidth="1"/>
    <col min="4615" max="4615" width="7.140625" style="6" customWidth="1"/>
    <col min="4616" max="4616" width="3.7109375" style="6" customWidth="1"/>
    <col min="4617" max="4617" width="6.7109375" style="6" customWidth="1"/>
    <col min="4618" max="4618" width="7.7109375" style="6" customWidth="1"/>
    <col min="4619" max="4619" width="9.85546875" style="6" customWidth="1"/>
    <col min="4620" max="4620" width="6.7109375" style="6" customWidth="1"/>
    <col min="4621" max="4621" width="7.7109375" style="6" customWidth="1"/>
    <col min="4622" max="4622" width="9.85546875" style="6" customWidth="1"/>
    <col min="4623" max="4862" width="11.42578125" style="6"/>
    <col min="4863" max="4863" width="2.42578125" style="6" customWidth="1"/>
    <col min="4864" max="4864" width="4.42578125" style="6" customWidth="1"/>
    <col min="4865" max="4865" width="34.140625" style="6" customWidth="1"/>
    <col min="4866" max="4866" width="2.85546875" style="6" customWidth="1"/>
    <col min="4867" max="4867" width="5.85546875" style="6" customWidth="1"/>
    <col min="4868" max="4868" width="2.42578125" style="6" customWidth="1"/>
    <col min="4869" max="4869" width="6.42578125" style="6" customWidth="1"/>
    <col min="4870" max="4870" width="2.42578125" style="6" customWidth="1"/>
    <col min="4871" max="4871" width="7.140625" style="6" customWidth="1"/>
    <col min="4872" max="4872" width="3.7109375" style="6" customWidth="1"/>
    <col min="4873" max="4873" width="6.7109375" style="6" customWidth="1"/>
    <col min="4874" max="4874" width="7.7109375" style="6" customWidth="1"/>
    <col min="4875" max="4875" width="9.85546875" style="6" customWidth="1"/>
    <col min="4876" max="4876" width="6.7109375" style="6" customWidth="1"/>
    <col min="4877" max="4877" width="7.7109375" style="6" customWidth="1"/>
    <col min="4878" max="4878" width="9.85546875" style="6" customWidth="1"/>
    <col min="4879" max="5118" width="11.42578125" style="6"/>
    <col min="5119" max="5119" width="2.42578125" style="6" customWidth="1"/>
    <col min="5120" max="5120" width="4.42578125" style="6" customWidth="1"/>
    <col min="5121" max="5121" width="34.140625" style="6" customWidth="1"/>
    <col min="5122" max="5122" width="2.85546875" style="6" customWidth="1"/>
    <col min="5123" max="5123" width="5.85546875" style="6" customWidth="1"/>
    <col min="5124" max="5124" width="2.42578125" style="6" customWidth="1"/>
    <col min="5125" max="5125" width="6.42578125" style="6" customWidth="1"/>
    <col min="5126" max="5126" width="2.42578125" style="6" customWidth="1"/>
    <col min="5127" max="5127" width="7.140625" style="6" customWidth="1"/>
    <col min="5128" max="5128" width="3.7109375" style="6" customWidth="1"/>
    <col min="5129" max="5129" width="6.7109375" style="6" customWidth="1"/>
    <col min="5130" max="5130" width="7.7109375" style="6" customWidth="1"/>
    <col min="5131" max="5131" width="9.85546875" style="6" customWidth="1"/>
    <col min="5132" max="5132" width="6.7109375" style="6" customWidth="1"/>
    <col min="5133" max="5133" width="7.7109375" style="6" customWidth="1"/>
    <col min="5134" max="5134" width="9.85546875" style="6" customWidth="1"/>
    <col min="5135" max="5374" width="11.42578125" style="6"/>
    <col min="5375" max="5375" width="2.42578125" style="6" customWidth="1"/>
    <col min="5376" max="5376" width="4.42578125" style="6" customWidth="1"/>
    <col min="5377" max="5377" width="34.140625" style="6" customWidth="1"/>
    <col min="5378" max="5378" width="2.85546875" style="6" customWidth="1"/>
    <col min="5379" max="5379" width="5.85546875" style="6" customWidth="1"/>
    <col min="5380" max="5380" width="2.42578125" style="6" customWidth="1"/>
    <col min="5381" max="5381" width="6.42578125" style="6" customWidth="1"/>
    <col min="5382" max="5382" width="2.42578125" style="6" customWidth="1"/>
    <col min="5383" max="5383" width="7.140625" style="6" customWidth="1"/>
    <col min="5384" max="5384" width="3.7109375" style="6" customWidth="1"/>
    <col min="5385" max="5385" width="6.7109375" style="6" customWidth="1"/>
    <col min="5386" max="5386" width="7.7109375" style="6" customWidth="1"/>
    <col min="5387" max="5387" width="9.85546875" style="6" customWidth="1"/>
    <col min="5388" max="5388" width="6.7109375" style="6" customWidth="1"/>
    <col min="5389" max="5389" width="7.7109375" style="6" customWidth="1"/>
    <col min="5390" max="5390" width="9.85546875" style="6" customWidth="1"/>
    <col min="5391" max="5630" width="11.42578125" style="6"/>
    <col min="5631" max="5631" width="2.42578125" style="6" customWidth="1"/>
    <col min="5632" max="5632" width="4.42578125" style="6" customWidth="1"/>
    <col min="5633" max="5633" width="34.140625" style="6" customWidth="1"/>
    <col min="5634" max="5634" width="2.85546875" style="6" customWidth="1"/>
    <col min="5635" max="5635" width="5.85546875" style="6" customWidth="1"/>
    <col min="5636" max="5636" width="2.42578125" style="6" customWidth="1"/>
    <col min="5637" max="5637" width="6.42578125" style="6" customWidth="1"/>
    <col min="5638" max="5638" width="2.42578125" style="6" customWidth="1"/>
    <col min="5639" max="5639" width="7.140625" style="6" customWidth="1"/>
    <col min="5640" max="5640" width="3.7109375" style="6" customWidth="1"/>
    <col min="5641" max="5641" width="6.7109375" style="6" customWidth="1"/>
    <col min="5642" max="5642" width="7.7109375" style="6" customWidth="1"/>
    <col min="5643" max="5643" width="9.85546875" style="6" customWidth="1"/>
    <col min="5644" max="5644" width="6.7109375" style="6" customWidth="1"/>
    <col min="5645" max="5645" width="7.7109375" style="6" customWidth="1"/>
    <col min="5646" max="5646" width="9.85546875" style="6" customWidth="1"/>
    <col min="5647" max="5886" width="11.42578125" style="6"/>
    <col min="5887" max="5887" width="2.42578125" style="6" customWidth="1"/>
    <col min="5888" max="5888" width="4.42578125" style="6" customWidth="1"/>
    <col min="5889" max="5889" width="34.140625" style="6" customWidth="1"/>
    <col min="5890" max="5890" width="2.85546875" style="6" customWidth="1"/>
    <col min="5891" max="5891" width="5.85546875" style="6" customWidth="1"/>
    <col min="5892" max="5892" width="2.42578125" style="6" customWidth="1"/>
    <col min="5893" max="5893" width="6.42578125" style="6" customWidth="1"/>
    <col min="5894" max="5894" width="2.42578125" style="6" customWidth="1"/>
    <col min="5895" max="5895" width="7.140625" style="6" customWidth="1"/>
    <col min="5896" max="5896" width="3.7109375" style="6" customWidth="1"/>
    <col min="5897" max="5897" width="6.7109375" style="6" customWidth="1"/>
    <col min="5898" max="5898" width="7.7109375" style="6" customWidth="1"/>
    <col min="5899" max="5899" width="9.85546875" style="6" customWidth="1"/>
    <col min="5900" max="5900" width="6.7109375" style="6" customWidth="1"/>
    <col min="5901" max="5901" width="7.7109375" style="6" customWidth="1"/>
    <col min="5902" max="5902" width="9.85546875" style="6" customWidth="1"/>
    <col min="5903" max="6142" width="11.42578125" style="6"/>
    <col min="6143" max="6143" width="2.42578125" style="6" customWidth="1"/>
    <col min="6144" max="6144" width="4.42578125" style="6" customWidth="1"/>
    <col min="6145" max="6145" width="34.140625" style="6" customWidth="1"/>
    <col min="6146" max="6146" width="2.85546875" style="6" customWidth="1"/>
    <col min="6147" max="6147" width="5.85546875" style="6" customWidth="1"/>
    <col min="6148" max="6148" width="2.42578125" style="6" customWidth="1"/>
    <col min="6149" max="6149" width="6.42578125" style="6" customWidth="1"/>
    <col min="6150" max="6150" width="2.42578125" style="6" customWidth="1"/>
    <col min="6151" max="6151" width="7.140625" style="6" customWidth="1"/>
    <col min="6152" max="6152" width="3.7109375" style="6" customWidth="1"/>
    <col min="6153" max="6153" width="6.7109375" style="6" customWidth="1"/>
    <col min="6154" max="6154" width="7.7109375" style="6" customWidth="1"/>
    <col min="6155" max="6155" width="9.85546875" style="6" customWidth="1"/>
    <col min="6156" max="6156" width="6.7109375" style="6" customWidth="1"/>
    <col min="6157" max="6157" width="7.7109375" style="6" customWidth="1"/>
    <col min="6158" max="6158" width="9.85546875" style="6" customWidth="1"/>
    <col min="6159" max="6398" width="11.42578125" style="6"/>
    <col min="6399" max="6399" width="2.42578125" style="6" customWidth="1"/>
    <col min="6400" max="6400" width="4.42578125" style="6" customWidth="1"/>
    <col min="6401" max="6401" width="34.140625" style="6" customWidth="1"/>
    <col min="6402" max="6402" width="2.85546875" style="6" customWidth="1"/>
    <col min="6403" max="6403" width="5.85546875" style="6" customWidth="1"/>
    <col min="6404" max="6404" width="2.42578125" style="6" customWidth="1"/>
    <col min="6405" max="6405" width="6.42578125" style="6" customWidth="1"/>
    <col min="6406" max="6406" width="2.42578125" style="6" customWidth="1"/>
    <col min="6407" max="6407" width="7.140625" style="6" customWidth="1"/>
    <col min="6408" max="6408" width="3.7109375" style="6" customWidth="1"/>
    <col min="6409" max="6409" width="6.7109375" style="6" customWidth="1"/>
    <col min="6410" max="6410" width="7.7109375" style="6" customWidth="1"/>
    <col min="6411" max="6411" width="9.85546875" style="6" customWidth="1"/>
    <col min="6412" max="6412" width="6.7109375" style="6" customWidth="1"/>
    <col min="6413" max="6413" width="7.7109375" style="6" customWidth="1"/>
    <col min="6414" max="6414" width="9.85546875" style="6" customWidth="1"/>
    <col min="6415" max="6654" width="11.42578125" style="6"/>
    <col min="6655" max="6655" width="2.42578125" style="6" customWidth="1"/>
    <col min="6656" max="6656" width="4.42578125" style="6" customWidth="1"/>
    <col min="6657" max="6657" width="34.140625" style="6" customWidth="1"/>
    <col min="6658" max="6658" width="2.85546875" style="6" customWidth="1"/>
    <col min="6659" max="6659" width="5.85546875" style="6" customWidth="1"/>
    <col min="6660" max="6660" width="2.42578125" style="6" customWidth="1"/>
    <col min="6661" max="6661" width="6.42578125" style="6" customWidth="1"/>
    <col min="6662" max="6662" width="2.42578125" style="6" customWidth="1"/>
    <col min="6663" max="6663" width="7.140625" style="6" customWidth="1"/>
    <col min="6664" max="6664" width="3.7109375" style="6" customWidth="1"/>
    <col min="6665" max="6665" width="6.7109375" style="6" customWidth="1"/>
    <col min="6666" max="6666" width="7.7109375" style="6" customWidth="1"/>
    <col min="6667" max="6667" width="9.85546875" style="6" customWidth="1"/>
    <col min="6668" max="6668" width="6.7109375" style="6" customWidth="1"/>
    <col min="6669" max="6669" width="7.7109375" style="6" customWidth="1"/>
    <col min="6670" max="6670" width="9.85546875" style="6" customWidth="1"/>
    <col min="6671" max="6910" width="11.42578125" style="6"/>
    <col min="6911" max="6911" width="2.42578125" style="6" customWidth="1"/>
    <col min="6912" max="6912" width="4.42578125" style="6" customWidth="1"/>
    <col min="6913" max="6913" width="34.140625" style="6" customWidth="1"/>
    <col min="6914" max="6914" width="2.85546875" style="6" customWidth="1"/>
    <col min="6915" max="6915" width="5.85546875" style="6" customWidth="1"/>
    <col min="6916" max="6916" width="2.42578125" style="6" customWidth="1"/>
    <col min="6917" max="6917" width="6.42578125" style="6" customWidth="1"/>
    <col min="6918" max="6918" width="2.42578125" style="6" customWidth="1"/>
    <col min="6919" max="6919" width="7.140625" style="6" customWidth="1"/>
    <col min="6920" max="6920" width="3.7109375" style="6" customWidth="1"/>
    <col min="6921" max="6921" width="6.7109375" style="6" customWidth="1"/>
    <col min="6922" max="6922" width="7.7109375" style="6" customWidth="1"/>
    <col min="6923" max="6923" width="9.85546875" style="6" customWidth="1"/>
    <col min="6924" max="6924" width="6.7109375" style="6" customWidth="1"/>
    <col min="6925" max="6925" width="7.7109375" style="6" customWidth="1"/>
    <col min="6926" max="6926" width="9.85546875" style="6" customWidth="1"/>
    <col min="6927" max="7166" width="11.42578125" style="6"/>
    <col min="7167" max="7167" width="2.42578125" style="6" customWidth="1"/>
    <col min="7168" max="7168" width="4.42578125" style="6" customWidth="1"/>
    <col min="7169" max="7169" width="34.140625" style="6" customWidth="1"/>
    <col min="7170" max="7170" width="2.85546875" style="6" customWidth="1"/>
    <col min="7171" max="7171" width="5.85546875" style="6" customWidth="1"/>
    <col min="7172" max="7172" width="2.42578125" style="6" customWidth="1"/>
    <col min="7173" max="7173" width="6.42578125" style="6" customWidth="1"/>
    <col min="7174" max="7174" width="2.42578125" style="6" customWidth="1"/>
    <col min="7175" max="7175" width="7.140625" style="6" customWidth="1"/>
    <col min="7176" max="7176" width="3.7109375" style="6" customWidth="1"/>
    <col min="7177" max="7177" width="6.7109375" style="6" customWidth="1"/>
    <col min="7178" max="7178" width="7.7109375" style="6" customWidth="1"/>
    <col min="7179" max="7179" width="9.85546875" style="6" customWidth="1"/>
    <col min="7180" max="7180" width="6.7109375" style="6" customWidth="1"/>
    <col min="7181" max="7181" width="7.7109375" style="6" customWidth="1"/>
    <col min="7182" max="7182" width="9.85546875" style="6" customWidth="1"/>
    <col min="7183" max="7422" width="11.42578125" style="6"/>
    <col min="7423" max="7423" width="2.42578125" style="6" customWidth="1"/>
    <col min="7424" max="7424" width="4.42578125" style="6" customWidth="1"/>
    <col min="7425" max="7425" width="34.140625" style="6" customWidth="1"/>
    <col min="7426" max="7426" width="2.85546875" style="6" customWidth="1"/>
    <col min="7427" max="7427" width="5.85546875" style="6" customWidth="1"/>
    <col min="7428" max="7428" width="2.42578125" style="6" customWidth="1"/>
    <col min="7429" max="7429" width="6.42578125" style="6" customWidth="1"/>
    <col min="7430" max="7430" width="2.42578125" style="6" customWidth="1"/>
    <col min="7431" max="7431" width="7.140625" style="6" customWidth="1"/>
    <col min="7432" max="7432" width="3.7109375" style="6" customWidth="1"/>
    <col min="7433" max="7433" width="6.7109375" style="6" customWidth="1"/>
    <col min="7434" max="7434" width="7.7109375" style="6" customWidth="1"/>
    <col min="7435" max="7435" width="9.85546875" style="6" customWidth="1"/>
    <col min="7436" max="7436" width="6.7109375" style="6" customWidth="1"/>
    <col min="7437" max="7437" width="7.7109375" style="6" customWidth="1"/>
    <col min="7438" max="7438" width="9.85546875" style="6" customWidth="1"/>
    <col min="7439" max="7678" width="11.42578125" style="6"/>
    <col min="7679" max="7679" width="2.42578125" style="6" customWidth="1"/>
    <col min="7680" max="7680" width="4.42578125" style="6" customWidth="1"/>
    <col min="7681" max="7681" width="34.140625" style="6" customWidth="1"/>
    <col min="7682" max="7682" width="2.85546875" style="6" customWidth="1"/>
    <col min="7683" max="7683" width="5.85546875" style="6" customWidth="1"/>
    <col min="7684" max="7684" width="2.42578125" style="6" customWidth="1"/>
    <col min="7685" max="7685" width="6.42578125" style="6" customWidth="1"/>
    <col min="7686" max="7686" width="2.42578125" style="6" customWidth="1"/>
    <col min="7687" max="7687" width="7.140625" style="6" customWidth="1"/>
    <col min="7688" max="7688" width="3.7109375" style="6" customWidth="1"/>
    <col min="7689" max="7689" width="6.7109375" style="6" customWidth="1"/>
    <col min="7690" max="7690" width="7.7109375" style="6" customWidth="1"/>
    <col min="7691" max="7691" width="9.85546875" style="6" customWidth="1"/>
    <col min="7692" max="7692" width="6.7109375" style="6" customWidth="1"/>
    <col min="7693" max="7693" width="7.7109375" style="6" customWidth="1"/>
    <col min="7694" max="7694" width="9.85546875" style="6" customWidth="1"/>
    <col min="7695" max="7934" width="11.42578125" style="6"/>
    <col min="7935" max="7935" width="2.42578125" style="6" customWidth="1"/>
    <col min="7936" max="7936" width="4.42578125" style="6" customWidth="1"/>
    <col min="7937" max="7937" width="34.140625" style="6" customWidth="1"/>
    <col min="7938" max="7938" width="2.85546875" style="6" customWidth="1"/>
    <col min="7939" max="7939" width="5.85546875" style="6" customWidth="1"/>
    <col min="7940" max="7940" width="2.42578125" style="6" customWidth="1"/>
    <col min="7941" max="7941" width="6.42578125" style="6" customWidth="1"/>
    <col min="7942" max="7942" width="2.42578125" style="6" customWidth="1"/>
    <col min="7943" max="7943" width="7.140625" style="6" customWidth="1"/>
    <col min="7944" max="7944" width="3.7109375" style="6" customWidth="1"/>
    <col min="7945" max="7945" width="6.7109375" style="6" customWidth="1"/>
    <col min="7946" max="7946" width="7.7109375" style="6" customWidth="1"/>
    <col min="7947" max="7947" width="9.85546875" style="6" customWidth="1"/>
    <col min="7948" max="7948" width="6.7109375" style="6" customWidth="1"/>
    <col min="7949" max="7949" width="7.7109375" style="6" customWidth="1"/>
    <col min="7950" max="7950" width="9.85546875" style="6" customWidth="1"/>
    <col min="7951" max="8190" width="11.42578125" style="6"/>
    <col min="8191" max="8191" width="2.42578125" style="6" customWidth="1"/>
    <col min="8192" max="8192" width="4.42578125" style="6" customWidth="1"/>
    <col min="8193" max="8193" width="34.140625" style="6" customWidth="1"/>
    <col min="8194" max="8194" width="2.85546875" style="6" customWidth="1"/>
    <col min="8195" max="8195" width="5.85546875" style="6" customWidth="1"/>
    <col min="8196" max="8196" width="2.42578125" style="6" customWidth="1"/>
    <col min="8197" max="8197" width="6.42578125" style="6" customWidth="1"/>
    <col min="8198" max="8198" width="2.42578125" style="6" customWidth="1"/>
    <col min="8199" max="8199" width="7.140625" style="6" customWidth="1"/>
    <col min="8200" max="8200" width="3.7109375" style="6" customWidth="1"/>
    <col min="8201" max="8201" width="6.7109375" style="6" customWidth="1"/>
    <col min="8202" max="8202" width="7.7109375" style="6" customWidth="1"/>
    <col min="8203" max="8203" width="9.85546875" style="6" customWidth="1"/>
    <col min="8204" max="8204" width="6.7109375" style="6" customWidth="1"/>
    <col min="8205" max="8205" width="7.7109375" style="6" customWidth="1"/>
    <col min="8206" max="8206" width="9.85546875" style="6" customWidth="1"/>
    <col min="8207" max="8446" width="11.42578125" style="6"/>
    <col min="8447" max="8447" width="2.42578125" style="6" customWidth="1"/>
    <col min="8448" max="8448" width="4.42578125" style="6" customWidth="1"/>
    <col min="8449" max="8449" width="34.140625" style="6" customWidth="1"/>
    <col min="8450" max="8450" width="2.85546875" style="6" customWidth="1"/>
    <col min="8451" max="8451" width="5.85546875" style="6" customWidth="1"/>
    <col min="8452" max="8452" width="2.42578125" style="6" customWidth="1"/>
    <col min="8453" max="8453" width="6.42578125" style="6" customWidth="1"/>
    <col min="8454" max="8454" width="2.42578125" style="6" customWidth="1"/>
    <col min="8455" max="8455" width="7.140625" style="6" customWidth="1"/>
    <col min="8456" max="8456" width="3.7109375" style="6" customWidth="1"/>
    <col min="8457" max="8457" width="6.7109375" style="6" customWidth="1"/>
    <col min="8458" max="8458" width="7.7109375" style="6" customWidth="1"/>
    <col min="8459" max="8459" width="9.85546875" style="6" customWidth="1"/>
    <col min="8460" max="8460" width="6.7109375" style="6" customWidth="1"/>
    <col min="8461" max="8461" width="7.7109375" style="6" customWidth="1"/>
    <col min="8462" max="8462" width="9.85546875" style="6" customWidth="1"/>
    <col min="8463" max="8702" width="11.42578125" style="6"/>
    <col min="8703" max="8703" width="2.42578125" style="6" customWidth="1"/>
    <col min="8704" max="8704" width="4.42578125" style="6" customWidth="1"/>
    <col min="8705" max="8705" width="34.140625" style="6" customWidth="1"/>
    <col min="8706" max="8706" width="2.85546875" style="6" customWidth="1"/>
    <col min="8707" max="8707" width="5.85546875" style="6" customWidth="1"/>
    <col min="8708" max="8708" width="2.42578125" style="6" customWidth="1"/>
    <col min="8709" max="8709" width="6.42578125" style="6" customWidth="1"/>
    <col min="8710" max="8710" width="2.42578125" style="6" customWidth="1"/>
    <col min="8711" max="8711" width="7.140625" style="6" customWidth="1"/>
    <col min="8712" max="8712" width="3.7109375" style="6" customWidth="1"/>
    <col min="8713" max="8713" width="6.7109375" style="6" customWidth="1"/>
    <col min="8714" max="8714" width="7.7109375" style="6" customWidth="1"/>
    <col min="8715" max="8715" width="9.85546875" style="6" customWidth="1"/>
    <col min="8716" max="8716" width="6.7109375" style="6" customWidth="1"/>
    <col min="8717" max="8717" width="7.7109375" style="6" customWidth="1"/>
    <col min="8718" max="8718" width="9.85546875" style="6" customWidth="1"/>
    <col min="8719" max="8958" width="11.42578125" style="6"/>
    <col min="8959" max="8959" width="2.42578125" style="6" customWidth="1"/>
    <col min="8960" max="8960" width="4.42578125" style="6" customWidth="1"/>
    <col min="8961" max="8961" width="34.140625" style="6" customWidth="1"/>
    <col min="8962" max="8962" width="2.85546875" style="6" customWidth="1"/>
    <col min="8963" max="8963" width="5.85546875" style="6" customWidth="1"/>
    <col min="8964" max="8964" width="2.42578125" style="6" customWidth="1"/>
    <col min="8965" max="8965" width="6.42578125" style="6" customWidth="1"/>
    <col min="8966" max="8966" width="2.42578125" style="6" customWidth="1"/>
    <col min="8967" max="8967" width="7.140625" style="6" customWidth="1"/>
    <col min="8968" max="8968" width="3.7109375" style="6" customWidth="1"/>
    <col min="8969" max="8969" width="6.7109375" style="6" customWidth="1"/>
    <col min="8970" max="8970" width="7.7109375" style="6" customWidth="1"/>
    <col min="8971" max="8971" width="9.85546875" style="6" customWidth="1"/>
    <col min="8972" max="8972" width="6.7109375" style="6" customWidth="1"/>
    <col min="8973" max="8973" width="7.7109375" style="6" customWidth="1"/>
    <col min="8974" max="8974" width="9.85546875" style="6" customWidth="1"/>
    <col min="8975" max="9214" width="11.42578125" style="6"/>
    <col min="9215" max="9215" width="2.42578125" style="6" customWidth="1"/>
    <col min="9216" max="9216" width="4.42578125" style="6" customWidth="1"/>
    <col min="9217" max="9217" width="34.140625" style="6" customWidth="1"/>
    <col min="9218" max="9218" width="2.85546875" style="6" customWidth="1"/>
    <col min="9219" max="9219" width="5.85546875" style="6" customWidth="1"/>
    <col min="9220" max="9220" width="2.42578125" style="6" customWidth="1"/>
    <col min="9221" max="9221" width="6.42578125" style="6" customWidth="1"/>
    <col min="9222" max="9222" width="2.42578125" style="6" customWidth="1"/>
    <col min="9223" max="9223" width="7.140625" style="6" customWidth="1"/>
    <col min="9224" max="9224" width="3.7109375" style="6" customWidth="1"/>
    <col min="9225" max="9225" width="6.7109375" style="6" customWidth="1"/>
    <col min="9226" max="9226" width="7.7109375" style="6" customWidth="1"/>
    <col min="9227" max="9227" width="9.85546875" style="6" customWidth="1"/>
    <col min="9228" max="9228" width="6.7109375" style="6" customWidth="1"/>
    <col min="9229" max="9229" width="7.7109375" style="6" customWidth="1"/>
    <col min="9230" max="9230" width="9.85546875" style="6" customWidth="1"/>
    <col min="9231" max="9470" width="11.42578125" style="6"/>
    <col min="9471" max="9471" width="2.42578125" style="6" customWidth="1"/>
    <col min="9472" max="9472" width="4.42578125" style="6" customWidth="1"/>
    <col min="9473" max="9473" width="34.140625" style="6" customWidth="1"/>
    <col min="9474" max="9474" width="2.85546875" style="6" customWidth="1"/>
    <col min="9475" max="9475" width="5.85546875" style="6" customWidth="1"/>
    <col min="9476" max="9476" width="2.42578125" style="6" customWidth="1"/>
    <col min="9477" max="9477" width="6.42578125" style="6" customWidth="1"/>
    <col min="9478" max="9478" width="2.42578125" style="6" customWidth="1"/>
    <col min="9479" max="9479" width="7.140625" style="6" customWidth="1"/>
    <col min="9480" max="9480" width="3.7109375" style="6" customWidth="1"/>
    <col min="9481" max="9481" width="6.7109375" style="6" customWidth="1"/>
    <col min="9482" max="9482" width="7.7109375" style="6" customWidth="1"/>
    <col min="9483" max="9483" width="9.85546875" style="6" customWidth="1"/>
    <col min="9484" max="9484" width="6.7109375" style="6" customWidth="1"/>
    <col min="9485" max="9485" width="7.7109375" style="6" customWidth="1"/>
    <col min="9486" max="9486" width="9.85546875" style="6" customWidth="1"/>
    <col min="9487" max="9726" width="11.42578125" style="6"/>
    <col min="9727" max="9727" width="2.42578125" style="6" customWidth="1"/>
    <col min="9728" max="9728" width="4.42578125" style="6" customWidth="1"/>
    <col min="9729" max="9729" width="34.140625" style="6" customWidth="1"/>
    <col min="9730" max="9730" width="2.85546875" style="6" customWidth="1"/>
    <col min="9731" max="9731" width="5.85546875" style="6" customWidth="1"/>
    <col min="9732" max="9732" width="2.42578125" style="6" customWidth="1"/>
    <col min="9733" max="9733" width="6.42578125" style="6" customWidth="1"/>
    <col min="9734" max="9734" width="2.42578125" style="6" customWidth="1"/>
    <col min="9735" max="9735" width="7.140625" style="6" customWidth="1"/>
    <col min="9736" max="9736" width="3.7109375" style="6" customWidth="1"/>
    <col min="9737" max="9737" width="6.7109375" style="6" customWidth="1"/>
    <col min="9738" max="9738" width="7.7109375" style="6" customWidth="1"/>
    <col min="9739" max="9739" width="9.85546875" style="6" customWidth="1"/>
    <col min="9740" max="9740" width="6.7109375" style="6" customWidth="1"/>
    <col min="9741" max="9741" width="7.7109375" style="6" customWidth="1"/>
    <col min="9742" max="9742" width="9.85546875" style="6" customWidth="1"/>
    <col min="9743" max="9982" width="11.42578125" style="6"/>
    <col min="9983" max="9983" width="2.42578125" style="6" customWidth="1"/>
    <col min="9984" max="9984" width="4.42578125" style="6" customWidth="1"/>
    <col min="9985" max="9985" width="34.140625" style="6" customWidth="1"/>
    <col min="9986" max="9986" width="2.85546875" style="6" customWidth="1"/>
    <col min="9987" max="9987" width="5.85546875" style="6" customWidth="1"/>
    <col min="9988" max="9988" width="2.42578125" style="6" customWidth="1"/>
    <col min="9989" max="9989" width="6.42578125" style="6" customWidth="1"/>
    <col min="9990" max="9990" width="2.42578125" style="6" customWidth="1"/>
    <col min="9991" max="9991" width="7.140625" style="6" customWidth="1"/>
    <col min="9992" max="9992" width="3.7109375" style="6" customWidth="1"/>
    <col min="9993" max="9993" width="6.7109375" style="6" customWidth="1"/>
    <col min="9994" max="9994" width="7.7109375" style="6" customWidth="1"/>
    <col min="9995" max="9995" width="9.85546875" style="6" customWidth="1"/>
    <col min="9996" max="9996" width="6.7109375" style="6" customWidth="1"/>
    <col min="9997" max="9997" width="7.7109375" style="6" customWidth="1"/>
    <col min="9998" max="9998" width="9.85546875" style="6" customWidth="1"/>
    <col min="9999" max="10238" width="11.42578125" style="6"/>
    <col min="10239" max="10239" width="2.42578125" style="6" customWidth="1"/>
    <col min="10240" max="10240" width="4.42578125" style="6" customWidth="1"/>
    <col min="10241" max="10241" width="34.140625" style="6" customWidth="1"/>
    <col min="10242" max="10242" width="2.85546875" style="6" customWidth="1"/>
    <col min="10243" max="10243" width="5.85546875" style="6" customWidth="1"/>
    <col min="10244" max="10244" width="2.42578125" style="6" customWidth="1"/>
    <col min="10245" max="10245" width="6.42578125" style="6" customWidth="1"/>
    <col min="10246" max="10246" width="2.42578125" style="6" customWidth="1"/>
    <col min="10247" max="10247" width="7.140625" style="6" customWidth="1"/>
    <col min="10248" max="10248" width="3.7109375" style="6" customWidth="1"/>
    <col min="10249" max="10249" width="6.7109375" style="6" customWidth="1"/>
    <col min="10250" max="10250" width="7.7109375" style="6" customWidth="1"/>
    <col min="10251" max="10251" width="9.85546875" style="6" customWidth="1"/>
    <col min="10252" max="10252" width="6.7109375" style="6" customWidth="1"/>
    <col min="10253" max="10253" width="7.7109375" style="6" customWidth="1"/>
    <col min="10254" max="10254" width="9.85546875" style="6" customWidth="1"/>
    <col min="10255" max="10494" width="11.42578125" style="6"/>
    <col min="10495" max="10495" width="2.42578125" style="6" customWidth="1"/>
    <col min="10496" max="10496" width="4.42578125" style="6" customWidth="1"/>
    <col min="10497" max="10497" width="34.140625" style="6" customWidth="1"/>
    <col min="10498" max="10498" width="2.85546875" style="6" customWidth="1"/>
    <col min="10499" max="10499" width="5.85546875" style="6" customWidth="1"/>
    <col min="10500" max="10500" width="2.42578125" style="6" customWidth="1"/>
    <col min="10501" max="10501" width="6.42578125" style="6" customWidth="1"/>
    <col min="10502" max="10502" width="2.42578125" style="6" customWidth="1"/>
    <col min="10503" max="10503" width="7.140625" style="6" customWidth="1"/>
    <col min="10504" max="10504" width="3.7109375" style="6" customWidth="1"/>
    <col min="10505" max="10505" width="6.7109375" style="6" customWidth="1"/>
    <col min="10506" max="10506" width="7.7109375" style="6" customWidth="1"/>
    <col min="10507" max="10507" width="9.85546875" style="6" customWidth="1"/>
    <col min="10508" max="10508" width="6.7109375" style="6" customWidth="1"/>
    <col min="10509" max="10509" width="7.7109375" style="6" customWidth="1"/>
    <col min="10510" max="10510" width="9.85546875" style="6" customWidth="1"/>
    <col min="10511" max="10750" width="11.42578125" style="6"/>
    <col min="10751" max="10751" width="2.42578125" style="6" customWidth="1"/>
    <col min="10752" max="10752" width="4.42578125" style="6" customWidth="1"/>
    <col min="10753" max="10753" width="34.140625" style="6" customWidth="1"/>
    <col min="10754" max="10754" width="2.85546875" style="6" customWidth="1"/>
    <col min="10755" max="10755" width="5.85546875" style="6" customWidth="1"/>
    <col min="10756" max="10756" width="2.42578125" style="6" customWidth="1"/>
    <col min="10757" max="10757" width="6.42578125" style="6" customWidth="1"/>
    <col min="10758" max="10758" width="2.42578125" style="6" customWidth="1"/>
    <col min="10759" max="10759" width="7.140625" style="6" customWidth="1"/>
    <col min="10760" max="10760" width="3.7109375" style="6" customWidth="1"/>
    <col min="10761" max="10761" width="6.7109375" style="6" customWidth="1"/>
    <col min="10762" max="10762" width="7.7109375" style="6" customWidth="1"/>
    <col min="10763" max="10763" width="9.85546875" style="6" customWidth="1"/>
    <col min="10764" max="10764" width="6.7109375" style="6" customWidth="1"/>
    <col min="10765" max="10765" width="7.7109375" style="6" customWidth="1"/>
    <col min="10766" max="10766" width="9.85546875" style="6" customWidth="1"/>
    <col min="10767" max="11006" width="11.42578125" style="6"/>
    <col min="11007" max="11007" width="2.42578125" style="6" customWidth="1"/>
    <col min="11008" max="11008" width="4.42578125" style="6" customWidth="1"/>
    <col min="11009" max="11009" width="34.140625" style="6" customWidth="1"/>
    <col min="11010" max="11010" width="2.85546875" style="6" customWidth="1"/>
    <col min="11011" max="11011" width="5.85546875" style="6" customWidth="1"/>
    <col min="11012" max="11012" width="2.42578125" style="6" customWidth="1"/>
    <col min="11013" max="11013" width="6.42578125" style="6" customWidth="1"/>
    <col min="11014" max="11014" width="2.42578125" style="6" customWidth="1"/>
    <col min="11015" max="11015" width="7.140625" style="6" customWidth="1"/>
    <col min="11016" max="11016" width="3.7109375" style="6" customWidth="1"/>
    <col min="11017" max="11017" width="6.7109375" style="6" customWidth="1"/>
    <col min="11018" max="11018" width="7.7109375" style="6" customWidth="1"/>
    <col min="11019" max="11019" width="9.85546875" style="6" customWidth="1"/>
    <col min="11020" max="11020" width="6.7109375" style="6" customWidth="1"/>
    <col min="11021" max="11021" width="7.7109375" style="6" customWidth="1"/>
    <col min="11022" max="11022" width="9.85546875" style="6" customWidth="1"/>
    <col min="11023" max="11262" width="11.42578125" style="6"/>
    <col min="11263" max="11263" width="2.42578125" style="6" customWidth="1"/>
    <col min="11264" max="11264" width="4.42578125" style="6" customWidth="1"/>
    <col min="11265" max="11265" width="34.140625" style="6" customWidth="1"/>
    <col min="11266" max="11266" width="2.85546875" style="6" customWidth="1"/>
    <col min="11267" max="11267" width="5.85546875" style="6" customWidth="1"/>
    <col min="11268" max="11268" width="2.42578125" style="6" customWidth="1"/>
    <col min="11269" max="11269" width="6.42578125" style="6" customWidth="1"/>
    <col min="11270" max="11270" width="2.42578125" style="6" customWidth="1"/>
    <col min="11271" max="11271" width="7.140625" style="6" customWidth="1"/>
    <col min="11272" max="11272" width="3.7109375" style="6" customWidth="1"/>
    <col min="11273" max="11273" width="6.7109375" style="6" customWidth="1"/>
    <col min="11274" max="11274" width="7.7109375" style="6" customWidth="1"/>
    <col min="11275" max="11275" width="9.85546875" style="6" customWidth="1"/>
    <col min="11276" max="11276" width="6.7109375" style="6" customWidth="1"/>
    <col min="11277" max="11277" width="7.7109375" style="6" customWidth="1"/>
    <col min="11278" max="11278" width="9.85546875" style="6" customWidth="1"/>
    <col min="11279" max="11518" width="11.42578125" style="6"/>
    <col min="11519" max="11519" width="2.42578125" style="6" customWidth="1"/>
    <col min="11520" max="11520" width="4.42578125" style="6" customWidth="1"/>
    <col min="11521" max="11521" width="34.140625" style="6" customWidth="1"/>
    <col min="11522" max="11522" width="2.85546875" style="6" customWidth="1"/>
    <col min="11523" max="11523" width="5.85546875" style="6" customWidth="1"/>
    <col min="11524" max="11524" width="2.42578125" style="6" customWidth="1"/>
    <col min="11525" max="11525" width="6.42578125" style="6" customWidth="1"/>
    <col min="11526" max="11526" width="2.42578125" style="6" customWidth="1"/>
    <col min="11527" max="11527" width="7.140625" style="6" customWidth="1"/>
    <col min="11528" max="11528" width="3.7109375" style="6" customWidth="1"/>
    <col min="11529" max="11529" width="6.7109375" style="6" customWidth="1"/>
    <col min="11530" max="11530" width="7.7109375" style="6" customWidth="1"/>
    <col min="11531" max="11531" width="9.85546875" style="6" customWidth="1"/>
    <col min="11532" max="11532" width="6.7109375" style="6" customWidth="1"/>
    <col min="11533" max="11533" width="7.7109375" style="6" customWidth="1"/>
    <col min="11534" max="11534" width="9.85546875" style="6" customWidth="1"/>
    <col min="11535" max="11774" width="11.42578125" style="6"/>
    <col min="11775" max="11775" width="2.42578125" style="6" customWidth="1"/>
    <col min="11776" max="11776" width="4.42578125" style="6" customWidth="1"/>
    <col min="11777" max="11777" width="34.140625" style="6" customWidth="1"/>
    <col min="11778" max="11778" width="2.85546875" style="6" customWidth="1"/>
    <col min="11779" max="11779" width="5.85546875" style="6" customWidth="1"/>
    <col min="11780" max="11780" width="2.42578125" style="6" customWidth="1"/>
    <col min="11781" max="11781" width="6.42578125" style="6" customWidth="1"/>
    <col min="11782" max="11782" width="2.42578125" style="6" customWidth="1"/>
    <col min="11783" max="11783" width="7.140625" style="6" customWidth="1"/>
    <col min="11784" max="11784" width="3.7109375" style="6" customWidth="1"/>
    <col min="11785" max="11785" width="6.7109375" style="6" customWidth="1"/>
    <col min="11786" max="11786" width="7.7109375" style="6" customWidth="1"/>
    <col min="11787" max="11787" width="9.85546875" style="6" customWidth="1"/>
    <col min="11788" max="11788" width="6.7109375" style="6" customWidth="1"/>
    <col min="11789" max="11789" width="7.7109375" style="6" customWidth="1"/>
    <col min="11790" max="11790" width="9.85546875" style="6" customWidth="1"/>
    <col min="11791" max="12030" width="11.42578125" style="6"/>
    <col min="12031" max="12031" width="2.42578125" style="6" customWidth="1"/>
    <col min="12032" max="12032" width="4.42578125" style="6" customWidth="1"/>
    <col min="12033" max="12033" width="34.140625" style="6" customWidth="1"/>
    <col min="12034" max="12034" width="2.85546875" style="6" customWidth="1"/>
    <col min="12035" max="12035" width="5.85546875" style="6" customWidth="1"/>
    <col min="12036" max="12036" width="2.42578125" style="6" customWidth="1"/>
    <col min="12037" max="12037" width="6.42578125" style="6" customWidth="1"/>
    <col min="12038" max="12038" width="2.42578125" style="6" customWidth="1"/>
    <col min="12039" max="12039" width="7.140625" style="6" customWidth="1"/>
    <col min="12040" max="12040" width="3.7109375" style="6" customWidth="1"/>
    <col min="12041" max="12041" width="6.7109375" style="6" customWidth="1"/>
    <col min="12042" max="12042" width="7.7109375" style="6" customWidth="1"/>
    <col min="12043" max="12043" width="9.85546875" style="6" customWidth="1"/>
    <col min="12044" max="12044" width="6.7109375" style="6" customWidth="1"/>
    <col min="12045" max="12045" width="7.7109375" style="6" customWidth="1"/>
    <col min="12046" max="12046" width="9.85546875" style="6" customWidth="1"/>
    <col min="12047" max="12286" width="11.42578125" style="6"/>
    <col min="12287" max="12287" width="2.42578125" style="6" customWidth="1"/>
    <col min="12288" max="12288" width="4.42578125" style="6" customWidth="1"/>
    <col min="12289" max="12289" width="34.140625" style="6" customWidth="1"/>
    <col min="12290" max="12290" width="2.85546875" style="6" customWidth="1"/>
    <col min="12291" max="12291" width="5.85546875" style="6" customWidth="1"/>
    <col min="12292" max="12292" width="2.42578125" style="6" customWidth="1"/>
    <col min="12293" max="12293" width="6.42578125" style="6" customWidth="1"/>
    <col min="12294" max="12294" width="2.42578125" style="6" customWidth="1"/>
    <col min="12295" max="12295" width="7.140625" style="6" customWidth="1"/>
    <col min="12296" max="12296" width="3.7109375" style="6" customWidth="1"/>
    <col min="12297" max="12297" width="6.7109375" style="6" customWidth="1"/>
    <col min="12298" max="12298" width="7.7109375" style="6" customWidth="1"/>
    <col min="12299" max="12299" width="9.85546875" style="6" customWidth="1"/>
    <col min="12300" max="12300" width="6.7109375" style="6" customWidth="1"/>
    <col min="12301" max="12301" width="7.7109375" style="6" customWidth="1"/>
    <col min="12302" max="12302" width="9.85546875" style="6" customWidth="1"/>
    <col min="12303" max="12542" width="11.42578125" style="6"/>
    <col min="12543" max="12543" width="2.42578125" style="6" customWidth="1"/>
    <col min="12544" max="12544" width="4.42578125" style="6" customWidth="1"/>
    <col min="12545" max="12545" width="34.140625" style="6" customWidth="1"/>
    <col min="12546" max="12546" width="2.85546875" style="6" customWidth="1"/>
    <col min="12547" max="12547" width="5.85546875" style="6" customWidth="1"/>
    <col min="12548" max="12548" width="2.42578125" style="6" customWidth="1"/>
    <col min="12549" max="12549" width="6.42578125" style="6" customWidth="1"/>
    <col min="12550" max="12550" width="2.42578125" style="6" customWidth="1"/>
    <col min="12551" max="12551" width="7.140625" style="6" customWidth="1"/>
    <col min="12552" max="12552" width="3.7109375" style="6" customWidth="1"/>
    <col min="12553" max="12553" width="6.7109375" style="6" customWidth="1"/>
    <col min="12554" max="12554" width="7.7109375" style="6" customWidth="1"/>
    <col min="12555" max="12555" width="9.85546875" style="6" customWidth="1"/>
    <col min="12556" max="12556" width="6.7109375" style="6" customWidth="1"/>
    <col min="12557" max="12557" width="7.7109375" style="6" customWidth="1"/>
    <col min="12558" max="12558" width="9.85546875" style="6" customWidth="1"/>
    <col min="12559" max="12798" width="11.42578125" style="6"/>
    <col min="12799" max="12799" width="2.42578125" style="6" customWidth="1"/>
    <col min="12800" max="12800" width="4.42578125" style="6" customWidth="1"/>
    <col min="12801" max="12801" width="34.140625" style="6" customWidth="1"/>
    <col min="12802" max="12802" width="2.85546875" style="6" customWidth="1"/>
    <col min="12803" max="12803" width="5.85546875" style="6" customWidth="1"/>
    <col min="12804" max="12804" width="2.42578125" style="6" customWidth="1"/>
    <col min="12805" max="12805" width="6.42578125" style="6" customWidth="1"/>
    <col min="12806" max="12806" width="2.42578125" style="6" customWidth="1"/>
    <col min="12807" max="12807" width="7.140625" style="6" customWidth="1"/>
    <col min="12808" max="12808" width="3.7109375" style="6" customWidth="1"/>
    <col min="12809" max="12809" width="6.7109375" style="6" customWidth="1"/>
    <col min="12810" max="12810" width="7.7109375" style="6" customWidth="1"/>
    <col min="12811" max="12811" width="9.85546875" style="6" customWidth="1"/>
    <col min="12812" max="12812" width="6.7109375" style="6" customWidth="1"/>
    <col min="12813" max="12813" width="7.7109375" style="6" customWidth="1"/>
    <col min="12814" max="12814" width="9.85546875" style="6" customWidth="1"/>
    <col min="12815" max="13054" width="11.42578125" style="6"/>
    <col min="13055" max="13055" width="2.42578125" style="6" customWidth="1"/>
    <col min="13056" max="13056" width="4.42578125" style="6" customWidth="1"/>
    <col min="13057" max="13057" width="34.140625" style="6" customWidth="1"/>
    <col min="13058" max="13058" width="2.85546875" style="6" customWidth="1"/>
    <col min="13059" max="13059" width="5.85546875" style="6" customWidth="1"/>
    <col min="13060" max="13060" width="2.42578125" style="6" customWidth="1"/>
    <col min="13061" max="13061" width="6.42578125" style="6" customWidth="1"/>
    <col min="13062" max="13062" width="2.42578125" style="6" customWidth="1"/>
    <col min="13063" max="13063" width="7.140625" style="6" customWidth="1"/>
    <col min="13064" max="13064" width="3.7109375" style="6" customWidth="1"/>
    <col min="13065" max="13065" width="6.7109375" style="6" customWidth="1"/>
    <col min="13066" max="13066" width="7.7109375" style="6" customWidth="1"/>
    <col min="13067" max="13067" width="9.85546875" style="6" customWidth="1"/>
    <col min="13068" max="13068" width="6.7109375" style="6" customWidth="1"/>
    <col min="13069" max="13069" width="7.7109375" style="6" customWidth="1"/>
    <col min="13070" max="13070" width="9.85546875" style="6" customWidth="1"/>
    <col min="13071" max="13310" width="11.42578125" style="6"/>
    <col min="13311" max="13311" width="2.42578125" style="6" customWidth="1"/>
    <col min="13312" max="13312" width="4.42578125" style="6" customWidth="1"/>
    <col min="13313" max="13313" width="34.140625" style="6" customWidth="1"/>
    <col min="13314" max="13314" width="2.85546875" style="6" customWidth="1"/>
    <col min="13315" max="13315" width="5.85546875" style="6" customWidth="1"/>
    <col min="13316" max="13316" width="2.42578125" style="6" customWidth="1"/>
    <col min="13317" max="13317" width="6.42578125" style="6" customWidth="1"/>
    <col min="13318" max="13318" width="2.42578125" style="6" customWidth="1"/>
    <col min="13319" max="13319" width="7.140625" style="6" customWidth="1"/>
    <col min="13320" max="13320" width="3.7109375" style="6" customWidth="1"/>
    <col min="13321" max="13321" width="6.7109375" style="6" customWidth="1"/>
    <col min="13322" max="13322" width="7.7109375" style="6" customWidth="1"/>
    <col min="13323" max="13323" width="9.85546875" style="6" customWidth="1"/>
    <col min="13324" max="13324" width="6.7109375" style="6" customWidth="1"/>
    <col min="13325" max="13325" width="7.7109375" style="6" customWidth="1"/>
    <col min="13326" max="13326" width="9.85546875" style="6" customWidth="1"/>
    <col min="13327" max="13566" width="11.42578125" style="6"/>
    <col min="13567" max="13567" width="2.42578125" style="6" customWidth="1"/>
    <col min="13568" max="13568" width="4.42578125" style="6" customWidth="1"/>
    <col min="13569" max="13569" width="34.140625" style="6" customWidth="1"/>
    <col min="13570" max="13570" width="2.85546875" style="6" customWidth="1"/>
    <col min="13571" max="13571" width="5.85546875" style="6" customWidth="1"/>
    <col min="13572" max="13572" width="2.42578125" style="6" customWidth="1"/>
    <col min="13573" max="13573" width="6.42578125" style="6" customWidth="1"/>
    <col min="13574" max="13574" width="2.42578125" style="6" customWidth="1"/>
    <col min="13575" max="13575" width="7.140625" style="6" customWidth="1"/>
    <col min="13576" max="13576" width="3.7109375" style="6" customWidth="1"/>
    <col min="13577" max="13577" width="6.7109375" style="6" customWidth="1"/>
    <col min="13578" max="13578" width="7.7109375" style="6" customWidth="1"/>
    <col min="13579" max="13579" width="9.85546875" style="6" customWidth="1"/>
    <col min="13580" max="13580" width="6.7109375" style="6" customWidth="1"/>
    <col min="13581" max="13581" width="7.7109375" style="6" customWidth="1"/>
    <col min="13582" max="13582" width="9.85546875" style="6" customWidth="1"/>
    <col min="13583" max="13822" width="11.42578125" style="6"/>
    <col min="13823" max="13823" width="2.42578125" style="6" customWidth="1"/>
    <col min="13824" max="13824" width="4.42578125" style="6" customWidth="1"/>
    <col min="13825" max="13825" width="34.140625" style="6" customWidth="1"/>
    <col min="13826" max="13826" width="2.85546875" style="6" customWidth="1"/>
    <col min="13827" max="13827" width="5.85546875" style="6" customWidth="1"/>
    <col min="13828" max="13828" width="2.42578125" style="6" customWidth="1"/>
    <col min="13829" max="13829" width="6.42578125" style="6" customWidth="1"/>
    <col min="13830" max="13830" width="2.42578125" style="6" customWidth="1"/>
    <col min="13831" max="13831" width="7.140625" style="6" customWidth="1"/>
    <col min="13832" max="13832" width="3.7109375" style="6" customWidth="1"/>
    <col min="13833" max="13833" width="6.7109375" style="6" customWidth="1"/>
    <col min="13834" max="13834" width="7.7109375" style="6" customWidth="1"/>
    <col min="13835" max="13835" width="9.85546875" style="6" customWidth="1"/>
    <col min="13836" max="13836" width="6.7109375" style="6" customWidth="1"/>
    <col min="13837" max="13837" width="7.7109375" style="6" customWidth="1"/>
    <col min="13838" max="13838" width="9.85546875" style="6" customWidth="1"/>
    <col min="13839" max="14078" width="11.42578125" style="6"/>
    <col min="14079" max="14079" width="2.42578125" style="6" customWidth="1"/>
    <col min="14080" max="14080" width="4.42578125" style="6" customWidth="1"/>
    <col min="14081" max="14081" width="34.140625" style="6" customWidth="1"/>
    <col min="14082" max="14082" width="2.85546875" style="6" customWidth="1"/>
    <col min="14083" max="14083" width="5.85546875" style="6" customWidth="1"/>
    <col min="14084" max="14084" width="2.42578125" style="6" customWidth="1"/>
    <col min="14085" max="14085" width="6.42578125" style="6" customWidth="1"/>
    <col min="14086" max="14086" width="2.42578125" style="6" customWidth="1"/>
    <col min="14087" max="14087" width="7.140625" style="6" customWidth="1"/>
    <col min="14088" max="14088" width="3.7109375" style="6" customWidth="1"/>
    <col min="14089" max="14089" width="6.7109375" style="6" customWidth="1"/>
    <col min="14090" max="14090" width="7.7109375" style="6" customWidth="1"/>
    <col min="14091" max="14091" width="9.85546875" style="6" customWidth="1"/>
    <col min="14092" max="14092" width="6.7109375" style="6" customWidth="1"/>
    <col min="14093" max="14093" width="7.7109375" style="6" customWidth="1"/>
    <col min="14094" max="14094" width="9.85546875" style="6" customWidth="1"/>
    <col min="14095" max="14334" width="11.42578125" style="6"/>
    <col min="14335" max="14335" width="2.42578125" style="6" customWidth="1"/>
    <col min="14336" max="14336" width="4.42578125" style="6" customWidth="1"/>
    <col min="14337" max="14337" width="34.140625" style="6" customWidth="1"/>
    <col min="14338" max="14338" width="2.85546875" style="6" customWidth="1"/>
    <col min="14339" max="14339" width="5.85546875" style="6" customWidth="1"/>
    <col min="14340" max="14340" width="2.42578125" style="6" customWidth="1"/>
    <col min="14341" max="14341" width="6.42578125" style="6" customWidth="1"/>
    <col min="14342" max="14342" width="2.42578125" style="6" customWidth="1"/>
    <col min="14343" max="14343" width="7.140625" style="6" customWidth="1"/>
    <col min="14344" max="14344" width="3.7109375" style="6" customWidth="1"/>
    <col min="14345" max="14345" width="6.7109375" style="6" customWidth="1"/>
    <col min="14346" max="14346" width="7.7109375" style="6" customWidth="1"/>
    <col min="14347" max="14347" width="9.85546875" style="6" customWidth="1"/>
    <col min="14348" max="14348" width="6.7109375" style="6" customWidth="1"/>
    <col min="14349" max="14349" width="7.7109375" style="6" customWidth="1"/>
    <col min="14350" max="14350" width="9.85546875" style="6" customWidth="1"/>
    <col min="14351" max="14590" width="11.42578125" style="6"/>
    <col min="14591" max="14591" width="2.42578125" style="6" customWidth="1"/>
    <col min="14592" max="14592" width="4.42578125" style="6" customWidth="1"/>
    <col min="14593" max="14593" width="34.140625" style="6" customWidth="1"/>
    <col min="14594" max="14594" width="2.85546875" style="6" customWidth="1"/>
    <col min="14595" max="14595" width="5.85546875" style="6" customWidth="1"/>
    <col min="14596" max="14596" width="2.42578125" style="6" customWidth="1"/>
    <col min="14597" max="14597" width="6.42578125" style="6" customWidth="1"/>
    <col min="14598" max="14598" width="2.42578125" style="6" customWidth="1"/>
    <col min="14599" max="14599" width="7.140625" style="6" customWidth="1"/>
    <col min="14600" max="14600" width="3.7109375" style="6" customWidth="1"/>
    <col min="14601" max="14601" width="6.7109375" style="6" customWidth="1"/>
    <col min="14602" max="14602" width="7.7109375" style="6" customWidth="1"/>
    <col min="14603" max="14603" width="9.85546875" style="6" customWidth="1"/>
    <col min="14604" max="14604" width="6.7109375" style="6" customWidth="1"/>
    <col min="14605" max="14605" width="7.7109375" style="6" customWidth="1"/>
    <col min="14606" max="14606" width="9.85546875" style="6" customWidth="1"/>
    <col min="14607" max="14846" width="11.42578125" style="6"/>
    <col min="14847" max="14847" width="2.42578125" style="6" customWidth="1"/>
    <col min="14848" max="14848" width="4.42578125" style="6" customWidth="1"/>
    <col min="14849" max="14849" width="34.140625" style="6" customWidth="1"/>
    <col min="14850" max="14850" width="2.85546875" style="6" customWidth="1"/>
    <col min="14851" max="14851" width="5.85546875" style="6" customWidth="1"/>
    <col min="14852" max="14852" width="2.42578125" style="6" customWidth="1"/>
    <col min="14853" max="14853" width="6.42578125" style="6" customWidth="1"/>
    <col min="14854" max="14854" width="2.42578125" style="6" customWidth="1"/>
    <col min="14855" max="14855" width="7.140625" style="6" customWidth="1"/>
    <col min="14856" max="14856" width="3.7109375" style="6" customWidth="1"/>
    <col min="14857" max="14857" width="6.7109375" style="6" customWidth="1"/>
    <col min="14858" max="14858" width="7.7109375" style="6" customWidth="1"/>
    <col min="14859" max="14859" width="9.85546875" style="6" customWidth="1"/>
    <col min="14860" max="14860" width="6.7109375" style="6" customWidth="1"/>
    <col min="14861" max="14861" width="7.7109375" style="6" customWidth="1"/>
    <col min="14862" max="14862" width="9.85546875" style="6" customWidth="1"/>
    <col min="14863" max="15102" width="11.42578125" style="6"/>
    <col min="15103" max="15103" width="2.42578125" style="6" customWidth="1"/>
    <col min="15104" max="15104" width="4.42578125" style="6" customWidth="1"/>
    <col min="15105" max="15105" width="34.140625" style="6" customWidth="1"/>
    <col min="15106" max="15106" width="2.85546875" style="6" customWidth="1"/>
    <col min="15107" max="15107" width="5.85546875" style="6" customWidth="1"/>
    <col min="15108" max="15108" width="2.42578125" style="6" customWidth="1"/>
    <col min="15109" max="15109" width="6.42578125" style="6" customWidth="1"/>
    <col min="15110" max="15110" width="2.42578125" style="6" customWidth="1"/>
    <col min="15111" max="15111" width="7.140625" style="6" customWidth="1"/>
    <col min="15112" max="15112" width="3.7109375" style="6" customWidth="1"/>
    <col min="15113" max="15113" width="6.7109375" style="6" customWidth="1"/>
    <col min="15114" max="15114" width="7.7109375" style="6" customWidth="1"/>
    <col min="15115" max="15115" width="9.85546875" style="6" customWidth="1"/>
    <col min="15116" max="15116" width="6.7109375" style="6" customWidth="1"/>
    <col min="15117" max="15117" width="7.7109375" style="6" customWidth="1"/>
    <col min="15118" max="15118" width="9.85546875" style="6" customWidth="1"/>
    <col min="15119" max="15358" width="11.42578125" style="6"/>
    <col min="15359" max="15359" width="2.42578125" style="6" customWidth="1"/>
    <col min="15360" max="15360" width="4.42578125" style="6" customWidth="1"/>
    <col min="15361" max="15361" width="34.140625" style="6" customWidth="1"/>
    <col min="15362" max="15362" width="2.85546875" style="6" customWidth="1"/>
    <col min="15363" max="15363" width="5.85546875" style="6" customWidth="1"/>
    <col min="15364" max="15364" width="2.42578125" style="6" customWidth="1"/>
    <col min="15365" max="15365" width="6.42578125" style="6" customWidth="1"/>
    <col min="15366" max="15366" width="2.42578125" style="6" customWidth="1"/>
    <col min="15367" max="15367" width="7.140625" style="6" customWidth="1"/>
    <col min="15368" max="15368" width="3.7109375" style="6" customWidth="1"/>
    <col min="15369" max="15369" width="6.7109375" style="6" customWidth="1"/>
    <col min="15370" max="15370" width="7.7109375" style="6" customWidth="1"/>
    <col min="15371" max="15371" width="9.85546875" style="6" customWidth="1"/>
    <col min="15372" max="15372" width="6.7109375" style="6" customWidth="1"/>
    <col min="15373" max="15373" width="7.7109375" style="6" customWidth="1"/>
    <col min="15374" max="15374" width="9.85546875" style="6" customWidth="1"/>
    <col min="15375" max="15614" width="11.42578125" style="6"/>
    <col min="15615" max="15615" width="2.42578125" style="6" customWidth="1"/>
    <col min="15616" max="15616" width="4.42578125" style="6" customWidth="1"/>
    <col min="15617" max="15617" width="34.140625" style="6" customWidth="1"/>
    <col min="15618" max="15618" width="2.85546875" style="6" customWidth="1"/>
    <col min="15619" max="15619" width="5.85546875" style="6" customWidth="1"/>
    <col min="15620" max="15620" width="2.42578125" style="6" customWidth="1"/>
    <col min="15621" max="15621" width="6.42578125" style="6" customWidth="1"/>
    <col min="15622" max="15622" width="2.42578125" style="6" customWidth="1"/>
    <col min="15623" max="15623" width="7.140625" style="6" customWidth="1"/>
    <col min="15624" max="15624" width="3.7109375" style="6" customWidth="1"/>
    <col min="15625" max="15625" width="6.7109375" style="6" customWidth="1"/>
    <col min="15626" max="15626" width="7.7109375" style="6" customWidth="1"/>
    <col min="15627" max="15627" width="9.85546875" style="6" customWidth="1"/>
    <col min="15628" max="15628" width="6.7109375" style="6" customWidth="1"/>
    <col min="15629" max="15629" width="7.7109375" style="6" customWidth="1"/>
    <col min="15630" max="15630" width="9.85546875" style="6" customWidth="1"/>
    <col min="15631" max="15870" width="11.42578125" style="6"/>
    <col min="15871" max="15871" width="2.42578125" style="6" customWidth="1"/>
    <col min="15872" max="15872" width="4.42578125" style="6" customWidth="1"/>
    <col min="15873" max="15873" width="34.140625" style="6" customWidth="1"/>
    <col min="15874" max="15874" width="2.85546875" style="6" customWidth="1"/>
    <col min="15875" max="15875" width="5.85546875" style="6" customWidth="1"/>
    <col min="15876" max="15876" width="2.42578125" style="6" customWidth="1"/>
    <col min="15877" max="15877" width="6.42578125" style="6" customWidth="1"/>
    <col min="15878" max="15878" width="2.42578125" style="6" customWidth="1"/>
    <col min="15879" max="15879" width="7.140625" style="6" customWidth="1"/>
    <col min="15880" max="15880" width="3.7109375" style="6" customWidth="1"/>
    <col min="15881" max="15881" width="6.7109375" style="6" customWidth="1"/>
    <col min="15882" max="15882" width="7.7109375" style="6" customWidth="1"/>
    <col min="15883" max="15883" width="9.85546875" style="6" customWidth="1"/>
    <col min="15884" max="15884" width="6.7109375" style="6" customWidth="1"/>
    <col min="15885" max="15885" width="7.7109375" style="6" customWidth="1"/>
    <col min="15886" max="15886" width="9.85546875" style="6" customWidth="1"/>
    <col min="15887" max="16126" width="11.42578125" style="6"/>
    <col min="16127" max="16127" width="2.42578125" style="6" customWidth="1"/>
    <col min="16128" max="16128" width="4.42578125" style="6" customWidth="1"/>
    <col min="16129" max="16129" width="34.140625" style="6" customWidth="1"/>
    <col min="16130" max="16130" width="2.85546875" style="6" customWidth="1"/>
    <col min="16131" max="16131" width="5.85546875" style="6" customWidth="1"/>
    <col min="16132" max="16132" width="2.42578125" style="6" customWidth="1"/>
    <col min="16133" max="16133" width="6.42578125" style="6" customWidth="1"/>
    <col min="16134" max="16134" width="2.42578125" style="6" customWidth="1"/>
    <col min="16135" max="16135" width="7.140625" style="6" customWidth="1"/>
    <col min="16136" max="16136" width="3.7109375" style="6" customWidth="1"/>
    <col min="16137" max="16137" width="6.7109375" style="6" customWidth="1"/>
    <col min="16138" max="16138" width="7.7109375" style="6" customWidth="1"/>
    <col min="16139" max="16139" width="9.85546875" style="6" customWidth="1"/>
    <col min="16140" max="16140" width="6.7109375" style="6" customWidth="1"/>
    <col min="16141" max="16141" width="7.7109375" style="6" customWidth="1"/>
    <col min="16142" max="16142" width="9.85546875" style="6" customWidth="1"/>
    <col min="16143" max="16377" width="11.42578125" style="6"/>
    <col min="16378" max="16384" width="11.42578125" style="6" customWidth="1"/>
  </cols>
  <sheetData>
    <row r="1" spans="1:18" ht="7.9" customHeight="1" x14ac:dyDescent="0.25">
      <c r="A1" s="7"/>
      <c r="B1" s="225" t="s">
        <v>6</v>
      </c>
      <c r="C1" s="113"/>
      <c r="D1" s="31"/>
      <c r="E1" s="31"/>
      <c r="F1" s="31"/>
      <c r="G1" s="31"/>
      <c r="H1" s="31"/>
      <c r="I1" s="31"/>
      <c r="J1" s="86"/>
      <c r="K1" s="86"/>
      <c r="L1" s="7"/>
      <c r="M1" s="9"/>
      <c r="N1" s="9"/>
    </row>
    <row r="2" spans="1:18" ht="7.9" customHeight="1" x14ac:dyDescent="0.25">
      <c r="A2" s="10" t="s">
        <v>0</v>
      </c>
      <c r="B2" s="226"/>
      <c r="C2" s="228" t="s">
        <v>1</v>
      </c>
      <c r="D2" s="229"/>
      <c r="E2" s="229"/>
      <c r="F2" s="229"/>
      <c r="G2" s="229"/>
      <c r="H2" s="229"/>
      <c r="I2" s="229"/>
      <c r="J2" s="230"/>
      <c r="K2" s="85" t="s">
        <v>2</v>
      </c>
      <c r="L2" s="10" t="s">
        <v>3</v>
      </c>
      <c r="M2" s="11" t="s">
        <v>4</v>
      </c>
      <c r="N2" s="11" t="s">
        <v>5</v>
      </c>
    </row>
    <row r="3" spans="1:18" ht="7.9" customHeight="1" x14ac:dyDescent="0.25">
      <c r="A3" s="12"/>
      <c r="B3" s="227"/>
      <c r="C3" s="114"/>
      <c r="D3" s="40"/>
      <c r="E3" s="40"/>
      <c r="F3" s="40"/>
      <c r="G3" s="40"/>
      <c r="H3" s="40"/>
      <c r="I3" s="40"/>
      <c r="J3" s="87"/>
      <c r="K3" s="87"/>
      <c r="L3" s="12"/>
      <c r="M3" s="13"/>
      <c r="N3" s="13"/>
    </row>
    <row r="4" spans="1:18" ht="19.899999999999999" customHeight="1" x14ac:dyDescent="0.25">
      <c r="A4" s="26" t="str">
        <f>IF(K4="","",MAX(A$2:A3)+1)</f>
        <v/>
      </c>
      <c r="B4" s="15"/>
      <c r="C4" s="53"/>
      <c r="D4" s="53"/>
      <c r="E4" s="53"/>
      <c r="F4" s="53"/>
      <c r="G4" s="53"/>
      <c r="H4" s="53"/>
      <c r="I4" s="53"/>
      <c r="J4" s="60"/>
      <c r="K4" s="88"/>
      <c r="L4" s="16"/>
      <c r="M4" s="17"/>
      <c r="N4" s="17"/>
      <c r="P4" s="135"/>
      <c r="R4" s="66"/>
    </row>
    <row r="5" spans="1:18" ht="34.15" customHeight="1" x14ac:dyDescent="0.25">
      <c r="A5" s="26" t="str">
        <f>IF(K5="","",MAX(A$2:A4)+1)</f>
        <v/>
      </c>
      <c r="B5" s="15"/>
      <c r="C5" s="234" t="s">
        <v>229</v>
      </c>
      <c r="D5" s="235"/>
      <c r="E5" s="235"/>
      <c r="F5" s="235"/>
      <c r="G5" s="235"/>
      <c r="H5" s="235"/>
      <c r="I5" s="235"/>
      <c r="J5" s="236"/>
      <c r="K5" s="88"/>
      <c r="L5" s="16"/>
      <c r="M5" s="17"/>
      <c r="N5" s="17"/>
      <c r="R5" s="66"/>
    </row>
    <row r="6" spans="1:18" ht="18" customHeight="1" x14ac:dyDescent="0.25">
      <c r="A6" s="26" t="str">
        <f>IF(K6="","",MAX(A$2:A5)+1)</f>
        <v/>
      </c>
      <c r="B6" s="15"/>
      <c r="C6" s="120"/>
      <c r="D6" s="121"/>
      <c r="E6" s="121"/>
      <c r="F6" s="121"/>
      <c r="G6" s="121"/>
      <c r="H6" s="121"/>
      <c r="I6" s="121"/>
      <c r="J6" s="122"/>
      <c r="K6" s="88"/>
      <c r="L6" s="16"/>
      <c r="M6" s="17"/>
      <c r="N6" s="17">
        <f t="shared" ref="N6" si="0">+M6*L6</f>
        <v>0</v>
      </c>
      <c r="R6" s="136"/>
    </row>
    <row r="7" spans="1:18" ht="24.6" customHeight="1" x14ac:dyDescent="0.25">
      <c r="A7" s="26" t="str">
        <f>IF(K7="","",MAX(A$2:A6)+1)</f>
        <v/>
      </c>
      <c r="B7" s="15"/>
      <c r="C7" s="237" t="s">
        <v>285</v>
      </c>
      <c r="D7" s="238"/>
      <c r="E7" s="238"/>
      <c r="F7" s="238"/>
      <c r="G7" s="238"/>
      <c r="H7" s="238"/>
      <c r="I7" s="238"/>
      <c r="J7" s="239"/>
      <c r="K7" s="88"/>
      <c r="L7" s="16"/>
      <c r="M7" s="17"/>
      <c r="N7" s="19"/>
    </row>
    <row r="8" spans="1:18" ht="17.45" customHeight="1" x14ac:dyDescent="0.25">
      <c r="A8" s="26" t="str">
        <f>IF(K8="","",MAX(A$2:A7)+1)</f>
        <v/>
      </c>
      <c r="B8" s="15"/>
      <c r="C8" s="109"/>
      <c r="D8" s="67"/>
      <c r="E8" s="67"/>
      <c r="F8" s="67"/>
      <c r="G8" s="67"/>
      <c r="H8" s="67"/>
      <c r="I8" s="67"/>
      <c r="J8" s="110"/>
      <c r="K8" s="88"/>
      <c r="L8" s="16"/>
      <c r="M8" s="17"/>
      <c r="N8" s="17">
        <f t="shared" ref="N8:N22" si="1">+M8*L8</f>
        <v>0</v>
      </c>
    </row>
    <row r="9" spans="1:18" ht="29.25" customHeight="1" x14ac:dyDescent="0.25">
      <c r="A9" s="26" t="str">
        <f>IF(K9="","",MAX(A$2:A8)+1)</f>
        <v/>
      </c>
      <c r="B9" s="14"/>
      <c r="C9" s="112" t="s">
        <v>28</v>
      </c>
      <c r="D9" s="100"/>
      <c r="E9" s="100"/>
      <c r="F9" s="100"/>
      <c r="G9" s="100"/>
      <c r="H9" s="100"/>
      <c r="I9" s="100"/>
      <c r="J9" s="101"/>
      <c r="K9" s="88"/>
      <c r="L9" s="16"/>
      <c r="M9" s="102"/>
      <c r="N9" s="17">
        <f t="shared" si="1"/>
        <v>0</v>
      </c>
    </row>
    <row r="10" spans="1:18" s="23" customFormat="1" ht="15" customHeight="1" x14ac:dyDescent="0.25">
      <c r="A10" s="26" t="str">
        <f>IF(K10="","",MAX(A$2:A9)+1)</f>
        <v/>
      </c>
      <c r="B10" s="14" t="s">
        <v>13</v>
      </c>
      <c r="C10" s="21" t="s">
        <v>29</v>
      </c>
      <c r="G10" s="22"/>
      <c r="H10" s="22"/>
      <c r="I10" s="22"/>
      <c r="J10" s="47"/>
      <c r="K10" s="88"/>
      <c r="L10" s="17"/>
      <c r="M10" s="17"/>
      <c r="N10" s="17">
        <f t="shared" si="1"/>
        <v>0</v>
      </c>
      <c r="O10" s="56"/>
    </row>
    <row r="11" spans="1:18" s="23" customFormat="1" ht="15" customHeight="1" x14ac:dyDescent="0.25">
      <c r="A11" s="26" t="str">
        <f>IF(K11="","",MAX(A$2:A10)+1)</f>
        <v/>
      </c>
      <c r="B11" s="14"/>
      <c r="C11" s="43" t="s">
        <v>30</v>
      </c>
      <c r="G11" s="22"/>
      <c r="H11" s="22"/>
      <c r="I11" s="22"/>
      <c r="J11" s="47"/>
      <c r="K11" s="88"/>
      <c r="L11" s="17"/>
      <c r="M11" s="17"/>
      <c r="N11" s="17">
        <f t="shared" si="1"/>
        <v>0</v>
      </c>
      <c r="O11" s="56"/>
    </row>
    <row r="12" spans="1:18" s="23" customFormat="1" ht="15" customHeight="1" x14ac:dyDescent="0.25">
      <c r="A12" s="26">
        <f>IF(K12="","",MAX(A$2:A11)+1)</f>
        <v>1</v>
      </c>
      <c r="B12" s="14"/>
      <c r="C12" s="42" t="s">
        <v>31</v>
      </c>
      <c r="G12" s="22"/>
      <c r="H12" s="22"/>
      <c r="I12" s="22"/>
      <c r="J12" s="47"/>
      <c r="K12" s="88" t="s">
        <v>10</v>
      </c>
      <c r="L12" s="17">
        <v>1</v>
      </c>
      <c r="M12" s="22"/>
      <c r="N12" s="17">
        <f t="shared" si="1"/>
        <v>0</v>
      </c>
      <c r="O12" s="56"/>
    </row>
    <row r="13" spans="1:18" s="23" customFormat="1" ht="15" customHeight="1" x14ac:dyDescent="0.25">
      <c r="A13" s="26">
        <f>IF(K13="","",MAX(A$2:A12)+1)</f>
        <v>2</v>
      </c>
      <c r="B13" s="14"/>
      <c r="C13" s="42" t="s">
        <v>32</v>
      </c>
      <c r="G13" s="22"/>
      <c r="H13" s="22"/>
      <c r="I13" s="22"/>
      <c r="J13" s="47"/>
      <c r="K13" s="88" t="s">
        <v>15</v>
      </c>
      <c r="L13" s="54">
        <v>6</v>
      </c>
      <c r="M13" s="22"/>
      <c r="N13" s="17">
        <f t="shared" si="1"/>
        <v>0</v>
      </c>
      <c r="O13" s="56"/>
    </row>
    <row r="14" spans="1:18" s="23" customFormat="1" ht="15" customHeight="1" x14ac:dyDescent="0.25">
      <c r="A14" s="26">
        <f>IF(K14="","",MAX(A$2:A13)+1)</f>
        <v>3</v>
      </c>
      <c r="B14" s="14"/>
      <c r="C14" s="42" t="s">
        <v>195</v>
      </c>
      <c r="G14" s="22"/>
      <c r="H14" s="22"/>
      <c r="I14" s="22"/>
      <c r="J14" s="47"/>
      <c r="K14" s="88" t="s">
        <v>8</v>
      </c>
      <c r="L14" s="17">
        <v>17</v>
      </c>
      <c r="M14" s="22"/>
      <c r="N14" s="17">
        <f>+M14*L14</f>
        <v>0</v>
      </c>
      <c r="O14" s="56"/>
    </row>
    <row r="15" spans="1:18" s="23" customFormat="1" ht="15" customHeight="1" x14ac:dyDescent="0.25">
      <c r="A15" s="26">
        <f>IF(K15="","",MAX(A$2:A14)+1)</f>
        <v>4</v>
      </c>
      <c r="B15" s="14"/>
      <c r="C15" s="42" t="s">
        <v>196</v>
      </c>
      <c r="G15" s="22"/>
      <c r="H15" s="22"/>
      <c r="I15" s="22"/>
      <c r="J15" s="47"/>
      <c r="K15" s="88" t="s">
        <v>10</v>
      </c>
      <c r="L15" s="17">
        <v>1</v>
      </c>
      <c r="M15" s="22"/>
      <c r="N15" s="17">
        <f t="shared" si="1"/>
        <v>0</v>
      </c>
      <c r="O15" s="56"/>
    </row>
    <row r="16" spans="1:18" s="23" customFormat="1" ht="15" customHeight="1" x14ac:dyDescent="0.25">
      <c r="A16" s="26" t="str">
        <f>IF(K16="","",MAX(A$2:A15)+1)</f>
        <v/>
      </c>
      <c r="B16" s="14"/>
      <c r="C16" s="43" t="s">
        <v>34</v>
      </c>
      <c r="G16" s="22"/>
      <c r="H16" s="22"/>
      <c r="I16" s="22"/>
      <c r="J16" s="47"/>
      <c r="K16" s="88"/>
      <c r="L16" s="17"/>
      <c r="M16" s="22"/>
      <c r="N16" s="17">
        <f t="shared" si="1"/>
        <v>0</v>
      </c>
      <c r="O16" s="56"/>
    </row>
    <row r="17" spans="1:15" s="23" customFormat="1" ht="15" customHeight="1" x14ac:dyDescent="0.25">
      <c r="A17" s="26">
        <f>IF(K17="","",MAX(A$2:A16)+1)</f>
        <v>5</v>
      </c>
      <c r="B17" s="14"/>
      <c r="C17" s="42" t="s">
        <v>35</v>
      </c>
      <c r="G17" s="22"/>
      <c r="H17" s="22"/>
      <c r="I17" s="22"/>
      <c r="J17" s="47"/>
      <c r="K17" s="88" t="s">
        <v>10</v>
      </c>
      <c r="L17" s="17">
        <v>1</v>
      </c>
      <c r="M17" s="22"/>
      <c r="N17" s="17">
        <f t="shared" si="1"/>
        <v>0</v>
      </c>
      <c r="O17" s="56"/>
    </row>
    <row r="18" spans="1:15" s="23" customFormat="1" ht="15" customHeight="1" x14ac:dyDescent="0.25">
      <c r="A18" s="26">
        <f>IF(K18="","",MAX(A$2:A17)+1)</f>
        <v>6</v>
      </c>
      <c r="B18" s="14"/>
      <c r="C18" s="42" t="s">
        <v>36</v>
      </c>
      <c r="G18" s="22"/>
      <c r="H18" s="22"/>
      <c r="I18" s="22"/>
      <c r="J18" s="47"/>
      <c r="K18" s="88" t="s">
        <v>15</v>
      </c>
      <c r="L18" s="54">
        <v>6</v>
      </c>
      <c r="M18" s="22"/>
      <c r="N18" s="17">
        <f t="shared" si="1"/>
        <v>0</v>
      </c>
      <c r="O18" s="56"/>
    </row>
    <row r="19" spans="1:15" s="23" customFormat="1" ht="15" customHeight="1" x14ac:dyDescent="0.25">
      <c r="A19" s="26">
        <f>IF(K19="","",MAX(A$2:A18)+1)</f>
        <v>7</v>
      </c>
      <c r="B19" s="14"/>
      <c r="C19" s="42" t="s">
        <v>195</v>
      </c>
      <c r="G19" s="22"/>
      <c r="H19" s="22"/>
      <c r="I19" s="22"/>
      <c r="J19" s="47"/>
      <c r="K19" s="88" t="s">
        <v>8</v>
      </c>
      <c r="L19" s="17">
        <v>17</v>
      </c>
      <c r="M19" s="22"/>
      <c r="N19" s="17">
        <f t="shared" si="1"/>
        <v>0</v>
      </c>
      <c r="O19" s="56"/>
    </row>
    <row r="20" spans="1:15" s="23" customFormat="1" ht="15" customHeight="1" x14ac:dyDescent="0.25">
      <c r="A20" s="26">
        <f>IF(K20="","",MAX(A$2:A19)+1)</f>
        <v>8</v>
      </c>
      <c r="B20" s="14"/>
      <c r="C20" s="42" t="s">
        <v>196</v>
      </c>
      <c r="G20" s="22"/>
      <c r="H20" s="22"/>
      <c r="I20" s="22"/>
      <c r="J20" s="47"/>
      <c r="K20" s="88" t="s">
        <v>10</v>
      </c>
      <c r="L20" s="17">
        <v>1</v>
      </c>
      <c r="M20" s="22"/>
      <c r="N20" s="17">
        <f t="shared" si="1"/>
        <v>0</v>
      </c>
      <c r="O20" s="56"/>
    </row>
    <row r="21" spans="1:15" s="23" customFormat="1" ht="25.15" customHeight="1" x14ac:dyDescent="0.25">
      <c r="A21" s="26" t="str">
        <f>IF(K21="","",MAX(A$2:A20)+1)</f>
        <v/>
      </c>
      <c r="B21" s="14"/>
      <c r="C21" s="43"/>
      <c r="G21" s="22"/>
      <c r="H21" s="22"/>
      <c r="I21" s="22"/>
      <c r="J21" s="47"/>
      <c r="K21" s="88"/>
      <c r="L21" s="17"/>
      <c r="M21" s="22"/>
      <c r="N21" s="17">
        <f t="shared" si="1"/>
        <v>0</v>
      </c>
      <c r="O21" s="56"/>
    </row>
    <row r="22" spans="1:15" ht="39" customHeight="1" x14ac:dyDescent="0.25">
      <c r="A22" s="26" t="str">
        <f>IF(K22="","",MAX(A$2:A21)+1)</f>
        <v/>
      </c>
      <c r="B22" s="14"/>
      <c r="C22" s="112" t="s">
        <v>37</v>
      </c>
      <c r="D22" s="100"/>
      <c r="E22" s="100"/>
      <c r="F22" s="100"/>
      <c r="G22" s="100"/>
      <c r="H22" s="100"/>
      <c r="I22" s="100"/>
      <c r="J22" s="101"/>
      <c r="K22" s="88"/>
      <c r="L22" s="16"/>
      <c r="M22" s="102"/>
      <c r="N22" s="17">
        <f t="shared" si="1"/>
        <v>0</v>
      </c>
      <c r="O22" s="56"/>
    </row>
    <row r="23" spans="1:15" ht="15" customHeight="1" x14ac:dyDescent="0.25">
      <c r="A23" s="26" t="str">
        <f>IF(K23="","",MAX(A$2:A22)+1)</f>
        <v/>
      </c>
      <c r="B23" s="14" t="s">
        <v>14</v>
      </c>
      <c r="C23" s="21" t="s">
        <v>38</v>
      </c>
      <c r="D23" s="23"/>
      <c r="E23" s="23"/>
      <c r="F23" s="23"/>
      <c r="G23" s="23"/>
      <c r="H23" s="23"/>
      <c r="I23" s="23"/>
      <c r="J23" s="47"/>
      <c r="K23" s="88"/>
      <c r="L23" s="17"/>
      <c r="M23" s="17"/>
      <c r="N23" s="17"/>
      <c r="O23" s="56"/>
    </row>
    <row r="24" spans="1:15" ht="21.6" customHeight="1" x14ac:dyDescent="0.25">
      <c r="A24" s="26" t="str">
        <f>IF(K24="","",MAX(A$2:A23)+1)</f>
        <v/>
      </c>
      <c r="B24" s="14"/>
      <c r="C24" s="231" t="s">
        <v>199</v>
      </c>
      <c r="D24" s="232"/>
      <c r="E24" s="232"/>
      <c r="F24" s="232"/>
      <c r="G24" s="232"/>
      <c r="H24" s="232"/>
      <c r="I24" s="232"/>
      <c r="J24" s="233"/>
      <c r="K24" s="88"/>
      <c r="L24" s="17"/>
      <c r="M24" s="17"/>
      <c r="N24" s="17"/>
      <c r="O24" s="56"/>
    </row>
    <row r="25" spans="1:15" ht="15" customHeight="1" x14ac:dyDescent="0.25">
      <c r="A25" s="26">
        <f>IF(K25="","",MAX(A$2:A24)+1)</f>
        <v>9</v>
      </c>
      <c r="B25" s="14"/>
      <c r="C25" s="123" t="s">
        <v>123</v>
      </c>
      <c r="D25" s="5"/>
      <c r="E25" s="5"/>
      <c r="F25" s="5"/>
      <c r="G25" s="5"/>
      <c r="H25" s="5"/>
      <c r="I25" s="5"/>
      <c r="J25" s="88"/>
      <c r="K25" s="88" t="s">
        <v>39</v>
      </c>
      <c r="L25" s="17">
        <f>L34</f>
        <v>819</v>
      </c>
      <c r="M25" s="17"/>
      <c r="N25" s="17">
        <f>+M25*L25</f>
        <v>0</v>
      </c>
      <c r="O25" s="56"/>
    </row>
    <row r="26" spans="1:15" ht="15" customHeight="1" x14ac:dyDescent="0.25">
      <c r="A26" s="26">
        <f>IF(K26="","",MAX(A$2:A25)+1)</f>
        <v>10</v>
      </c>
      <c r="B26" s="14"/>
      <c r="C26" s="123" t="s">
        <v>71</v>
      </c>
      <c r="D26" s="5"/>
      <c r="E26" s="5"/>
      <c r="F26" s="5"/>
      <c r="G26" s="5"/>
      <c r="H26" s="5"/>
      <c r="I26" s="5"/>
      <c r="J26" s="88"/>
      <c r="K26" s="88" t="s">
        <v>39</v>
      </c>
      <c r="L26" s="17">
        <v>200</v>
      </c>
      <c r="M26" s="17"/>
      <c r="N26" s="17">
        <f>+M26*L26</f>
        <v>0</v>
      </c>
      <c r="O26" s="56"/>
    </row>
    <row r="27" spans="1:15" ht="15" customHeight="1" x14ac:dyDescent="0.25">
      <c r="A27" s="26" t="str">
        <f>IF(K27="","",MAX(A$2:A26)+1)</f>
        <v/>
      </c>
      <c r="B27" s="14"/>
      <c r="C27" s="21"/>
      <c r="D27" s="5"/>
      <c r="E27" s="5"/>
      <c r="F27" s="5"/>
      <c r="G27" s="5"/>
      <c r="H27" s="5"/>
      <c r="I27" s="5"/>
      <c r="J27" s="88"/>
      <c r="K27" s="88"/>
      <c r="L27" s="17"/>
      <c r="M27" s="17"/>
      <c r="N27" s="17"/>
      <c r="O27" s="56"/>
    </row>
    <row r="28" spans="1:15" ht="15" customHeight="1" x14ac:dyDescent="0.25">
      <c r="A28" s="26" t="str">
        <f>IF(K28="","",MAX(A$2:A27)+1)</f>
        <v/>
      </c>
      <c r="B28" s="14" t="s">
        <v>16</v>
      </c>
      <c r="C28" s="21" t="s">
        <v>109</v>
      </c>
      <c r="D28" s="5"/>
      <c r="E28" s="5"/>
      <c r="F28" s="5"/>
      <c r="G28" s="5"/>
      <c r="H28" s="5"/>
      <c r="I28" s="5"/>
      <c r="J28" s="88"/>
      <c r="K28" s="88"/>
      <c r="L28" s="17"/>
      <c r="M28" s="17"/>
      <c r="N28" s="17">
        <f>+M28*L28</f>
        <v>0</v>
      </c>
      <c r="O28" s="56"/>
    </row>
    <row r="29" spans="1:15" ht="15" customHeight="1" x14ac:dyDescent="0.25">
      <c r="A29" s="26" t="str">
        <f>IF(K29="","",MAX(A$2:A28)+1)</f>
        <v/>
      </c>
      <c r="B29" s="14"/>
      <c r="C29" s="23" t="s">
        <v>200</v>
      </c>
      <c r="D29" s="5"/>
      <c r="E29" s="5"/>
      <c r="F29" s="5"/>
      <c r="G29" s="5"/>
      <c r="H29" s="5"/>
      <c r="I29" s="5"/>
      <c r="J29" s="88"/>
      <c r="K29" s="88"/>
      <c r="L29" s="17"/>
      <c r="M29" s="17"/>
      <c r="N29" s="17">
        <f t="shared" ref="N29:N33" si="2">+M29*L29</f>
        <v>0</v>
      </c>
      <c r="O29" s="56"/>
    </row>
    <row r="30" spans="1:15" ht="15" customHeight="1" x14ac:dyDescent="0.25">
      <c r="A30" s="26">
        <f>IF(K30="","",MAX(A$2:A29)+1)</f>
        <v>11</v>
      </c>
      <c r="B30" s="14"/>
      <c r="C30" s="123" t="s">
        <v>123</v>
      </c>
      <c r="D30" s="5"/>
      <c r="E30" s="5"/>
      <c r="F30" s="5"/>
      <c r="G30" s="5"/>
      <c r="H30" s="5"/>
      <c r="I30" s="5"/>
      <c r="J30" s="88"/>
      <c r="K30" s="88" t="s">
        <v>39</v>
      </c>
      <c r="L30" s="17">
        <f>L34</f>
        <v>819</v>
      </c>
      <c r="M30" s="41"/>
      <c r="N30" s="17">
        <f>+M30*L30</f>
        <v>0</v>
      </c>
      <c r="O30" s="56"/>
    </row>
    <row r="31" spans="1:15" ht="15" customHeight="1" x14ac:dyDescent="0.25">
      <c r="A31" s="26">
        <f>IF(K31="","",MAX(A$2:A30)+1)</f>
        <v>12</v>
      </c>
      <c r="B31" s="14"/>
      <c r="C31" s="123" t="s">
        <v>71</v>
      </c>
      <c r="D31" s="5"/>
      <c r="E31" s="5"/>
      <c r="F31" s="5"/>
      <c r="G31" s="5"/>
      <c r="H31" s="5"/>
      <c r="I31" s="5"/>
      <c r="J31" s="88"/>
      <c r="K31" s="88" t="s">
        <v>39</v>
      </c>
      <c r="L31" s="17">
        <f>L26</f>
        <v>200</v>
      </c>
      <c r="M31" s="41"/>
      <c r="N31" s="17">
        <f>+M31*L31</f>
        <v>0</v>
      </c>
      <c r="O31" s="56"/>
    </row>
    <row r="32" spans="1:15" ht="15" customHeight="1" x14ac:dyDescent="0.25">
      <c r="A32" s="26" t="str">
        <f>IF(K32="","",MAX(A$2:A31)+1)</f>
        <v/>
      </c>
      <c r="B32" s="14"/>
      <c r="C32" s="43"/>
      <c r="D32" s="5"/>
      <c r="E32" s="5"/>
      <c r="F32" s="5"/>
      <c r="G32" s="5"/>
      <c r="H32" s="5"/>
      <c r="I32" s="5"/>
      <c r="J32" s="88"/>
      <c r="K32" s="88"/>
      <c r="L32" s="17"/>
      <c r="M32" s="41"/>
      <c r="N32" s="57"/>
      <c r="O32" s="56"/>
    </row>
    <row r="33" spans="1:15" ht="15" customHeight="1" x14ac:dyDescent="0.25">
      <c r="A33" s="26" t="str">
        <f>IF(K33="","",MAX(A$2:A32)+1)</f>
        <v/>
      </c>
      <c r="B33" s="14" t="s">
        <v>17</v>
      </c>
      <c r="C33" s="21" t="s">
        <v>40</v>
      </c>
      <c r="D33" s="5"/>
      <c r="E33" s="5"/>
      <c r="F33" s="5"/>
      <c r="G33" s="5"/>
      <c r="H33" s="5"/>
      <c r="I33" s="5"/>
      <c r="J33" s="88"/>
      <c r="K33" s="88"/>
      <c r="L33" s="17"/>
      <c r="M33" s="17"/>
      <c r="N33" s="17">
        <f t="shared" si="2"/>
        <v>0</v>
      </c>
      <c r="O33" s="56"/>
    </row>
    <row r="34" spans="1:15" ht="15" customHeight="1" collapsed="1" x14ac:dyDescent="0.25">
      <c r="A34" s="26">
        <f>IF(K34="","",MAX(A$2:A33)+1)</f>
        <v>13</v>
      </c>
      <c r="B34" s="14"/>
      <c r="C34" s="23" t="s">
        <v>245</v>
      </c>
      <c r="D34" s="5"/>
      <c r="E34" s="5"/>
      <c r="F34" s="5"/>
      <c r="G34" s="5"/>
      <c r="H34" s="5"/>
      <c r="I34" s="5"/>
      <c r="J34" s="88"/>
      <c r="K34" s="88" t="s">
        <v>39</v>
      </c>
      <c r="L34" s="17">
        <f>ROUNDUP(I81*1.05,)</f>
        <v>819</v>
      </c>
      <c r="M34" s="17"/>
      <c r="N34" s="17">
        <f>+M34*L34</f>
        <v>0</v>
      </c>
      <c r="O34" s="126"/>
    </row>
    <row r="35" spans="1:15" s="119" customFormat="1" ht="13.15" hidden="1" customHeight="1" outlineLevel="1" x14ac:dyDescent="0.25">
      <c r="A35" s="26" t="str">
        <f>IF(K35="","",MAX(A$2:A34)+1)</f>
        <v/>
      </c>
      <c r="B35" s="205"/>
      <c r="C35" s="185" t="s">
        <v>247</v>
      </c>
      <c r="D35" s="149"/>
      <c r="E35" s="153"/>
      <c r="F35" s="153"/>
      <c r="G35" s="153"/>
      <c r="H35" s="154"/>
      <c r="I35" s="153">
        <f t="shared" ref="I35" si="3">+G35*E35</f>
        <v>0</v>
      </c>
      <c r="J35" s="155"/>
      <c r="K35" s="150"/>
      <c r="L35" s="118"/>
      <c r="M35" s="118"/>
      <c r="N35" s="118">
        <f t="shared" ref="N35" si="4">+M35*L35</f>
        <v>0</v>
      </c>
      <c r="O35" s="156"/>
    </row>
    <row r="36" spans="1:15" s="119" customFormat="1" ht="13.15" hidden="1" customHeight="1" outlineLevel="1" x14ac:dyDescent="0.25">
      <c r="A36" s="26" t="str">
        <f>IF(K36="","",MAX(A$2:A35)+1)</f>
        <v/>
      </c>
      <c r="B36" s="205"/>
      <c r="C36" s="142" t="s">
        <v>94</v>
      </c>
      <c r="D36" s="149"/>
      <c r="E36" s="149">
        <f>(22.35+15.1)</f>
        <v>37.450000000000003</v>
      </c>
      <c r="F36" s="149" t="s">
        <v>11</v>
      </c>
      <c r="G36" s="149">
        <f>(52*0.11)/2</f>
        <v>2.86</v>
      </c>
      <c r="H36" s="149" t="s">
        <v>12</v>
      </c>
      <c r="I36" s="153">
        <f>E36*G36</f>
        <v>107.107</v>
      </c>
      <c r="J36" s="157"/>
      <c r="K36" s="150"/>
      <c r="L36" s="118"/>
      <c r="M36" s="118"/>
      <c r="N36" s="118">
        <f t="shared" ref="N36:N83" si="5">+M36*L36</f>
        <v>0</v>
      </c>
      <c r="O36" s="151"/>
    </row>
    <row r="37" spans="1:15" s="119" customFormat="1" ht="13.15" hidden="1" customHeight="1" outlineLevel="1" x14ac:dyDescent="0.25">
      <c r="A37" s="26" t="str">
        <f>IF(K37="","",MAX(A$2:A36)+1)</f>
        <v/>
      </c>
      <c r="B37" s="205"/>
      <c r="C37" s="142" t="s">
        <v>95</v>
      </c>
      <c r="D37" s="149"/>
      <c r="E37" s="153">
        <v>10</v>
      </c>
      <c r="F37" s="149" t="s">
        <v>11</v>
      </c>
      <c r="G37" s="153">
        <f>(20*0.11)</f>
        <v>2.2000000000000002</v>
      </c>
      <c r="H37" s="149" t="s">
        <v>12</v>
      </c>
      <c r="I37" s="153">
        <f>E37*G37</f>
        <v>22</v>
      </c>
      <c r="J37" s="157"/>
      <c r="K37" s="150"/>
      <c r="L37" s="118"/>
      <c r="M37" s="118"/>
      <c r="N37" s="118">
        <f t="shared" si="5"/>
        <v>0</v>
      </c>
      <c r="O37" s="151"/>
    </row>
    <row r="38" spans="1:15" s="119" customFormat="1" ht="13.15" hidden="1" customHeight="1" outlineLevel="1" x14ac:dyDescent="0.25">
      <c r="A38" s="26" t="str">
        <f>IF(K38="","",MAX(A$2:A37)+1)</f>
        <v/>
      </c>
      <c r="B38" s="205"/>
      <c r="C38" s="177"/>
      <c r="D38" s="149"/>
      <c r="E38" s="153">
        <v>5.5</v>
      </c>
      <c r="F38" s="149" t="s">
        <v>11</v>
      </c>
      <c r="G38" s="153">
        <f>((45*0.11)+(10*0.11))/2</f>
        <v>3.0250000000000004</v>
      </c>
      <c r="H38" s="149" t="s">
        <v>12</v>
      </c>
      <c r="I38" s="153">
        <f>E38*G38</f>
        <v>16.637500000000003</v>
      </c>
      <c r="J38" s="157"/>
      <c r="K38" s="150"/>
      <c r="L38" s="118"/>
      <c r="M38" s="118"/>
      <c r="N38" s="118">
        <f t="shared" si="5"/>
        <v>0</v>
      </c>
      <c r="O38" s="151"/>
    </row>
    <row r="39" spans="1:15" s="119" customFormat="1" ht="13.15" hidden="1" customHeight="1" outlineLevel="1" x14ac:dyDescent="0.25">
      <c r="A39" s="26" t="str">
        <f>IF(K39="","",MAX(A$2:A38)+1)</f>
        <v/>
      </c>
      <c r="B39" s="205"/>
      <c r="C39" s="142" t="s">
        <v>96</v>
      </c>
      <c r="D39" s="149"/>
      <c r="E39" s="149">
        <v>8.06</v>
      </c>
      <c r="F39" s="149" t="s">
        <v>11</v>
      </c>
      <c r="G39" s="149">
        <f>(52*0.11)/2</f>
        <v>2.86</v>
      </c>
      <c r="H39" s="149" t="s">
        <v>12</v>
      </c>
      <c r="I39" s="153">
        <f>E39*G39</f>
        <v>23.051600000000001</v>
      </c>
      <c r="J39" s="157"/>
      <c r="K39" s="150"/>
      <c r="L39" s="118"/>
      <c r="M39" s="118"/>
      <c r="N39" s="118">
        <f t="shared" si="5"/>
        <v>0</v>
      </c>
      <c r="O39" s="151"/>
    </row>
    <row r="40" spans="1:15" s="119" customFormat="1" ht="13.15" hidden="1" customHeight="1" outlineLevel="1" x14ac:dyDescent="0.25">
      <c r="A40" s="26" t="str">
        <f>IF(K40="","",MAX(A$2:A39)+1)</f>
        <v/>
      </c>
      <c r="B40" s="205"/>
      <c r="C40" s="142" t="s">
        <v>97</v>
      </c>
      <c r="D40" s="149"/>
      <c r="E40" s="149">
        <v>8.06</v>
      </c>
      <c r="F40" s="149" t="s">
        <v>11</v>
      </c>
      <c r="G40" s="149">
        <f>(52*0.11)/2</f>
        <v>2.86</v>
      </c>
      <c r="H40" s="149" t="s">
        <v>12</v>
      </c>
      <c r="I40" s="153">
        <f>E40*G40*0.6</f>
        <v>13.830959999999999</v>
      </c>
      <c r="J40" s="157"/>
      <c r="K40" s="150"/>
      <c r="L40" s="118"/>
      <c r="M40" s="118"/>
      <c r="N40" s="118">
        <f t="shared" si="5"/>
        <v>0</v>
      </c>
      <c r="O40" s="151"/>
    </row>
    <row r="41" spans="1:15" s="119" customFormat="1" ht="13.15" hidden="1" customHeight="1" outlineLevel="1" x14ac:dyDescent="0.25">
      <c r="A41" s="26" t="str">
        <f>IF(K41="","",MAX(A$2:A40)+1)</f>
        <v/>
      </c>
      <c r="B41" s="205"/>
      <c r="C41" s="142" t="s">
        <v>98</v>
      </c>
      <c r="D41" s="149"/>
      <c r="E41" s="153">
        <f>4.9+1</f>
        <v>5.9</v>
      </c>
      <c r="F41" s="149" t="s">
        <v>11</v>
      </c>
      <c r="G41" s="153">
        <f>(26*0.11)</f>
        <v>2.86</v>
      </c>
      <c r="H41" s="149" t="s">
        <v>12</v>
      </c>
      <c r="I41" s="153">
        <f>E41*G41</f>
        <v>16.873999999999999</v>
      </c>
      <c r="J41" s="157"/>
      <c r="K41" s="150"/>
      <c r="L41" s="118"/>
      <c r="M41" s="118"/>
      <c r="N41" s="118">
        <f t="shared" si="5"/>
        <v>0</v>
      </c>
      <c r="O41" s="151"/>
    </row>
    <row r="42" spans="1:15" s="119" customFormat="1" ht="13.15" hidden="1" customHeight="1" outlineLevel="1" x14ac:dyDescent="0.25">
      <c r="A42" s="26" t="str">
        <f>IF(K42="","",MAX(A$2:A41)+1)</f>
        <v/>
      </c>
      <c r="B42" s="205"/>
      <c r="C42" s="142" t="s">
        <v>160</v>
      </c>
      <c r="D42" s="149"/>
      <c r="E42" s="153"/>
      <c r="F42" s="153"/>
      <c r="G42" s="153"/>
      <c r="H42" s="154"/>
      <c r="I42" s="153">
        <f t="shared" ref="I42:I45" si="6">+G42*E42</f>
        <v>0</v>
      </c>
      <c r="J42" s="155"/>
      <c r="K42" s="150"/>
      <c r="L42" s="118"/>
      <c r="M42" s="118"/>
      <c r="N42" s="118">
        <f t="shared" si="5"/>
        <v>0</v>
      </c>
      <c r="O42" s="156"/>
    </row>
    <row r="43" spans="1:15" s="119" customFormat="1" ht="13.15" hidden="1" customHeight="1" outlineLevel="1" x14ac:dyDescent="0.25">
      <c r="A43" s="26" t="str">
        <f>IF(K43="","",MAX(A$2:A42)+1)</f>
        <v/>
      </c>
      <c r="B43" s="205"/>
      <c r="C43" s="158" t="s">
        <v>141</v>
      </c>
      <c r="D43" s="149"/>
      <c r="E43" s="153">
        <v>2.5</v>
      </c>
      <c r="F43" s="153" t="s">
        <v>11</v>
      </c>
      <c r="G43" s="153">
        <f>15*0.16</f>
        <v>2.4</v>
      </c>
      <c r="H43" s="154" t="s">
        <v>12</v>
      </c>
      <c r="I43" s="153">
        <f t="shared" si="6"/>
        <v>6</v>
      </c>
      <c r="J43" s="155"/>
      <c r="K43" s="150"/>
      <c r="L43" s="118"/>
      <c r="M43" s="118"/>
      <c r="N43" s="118">
        <f t="shared" si="5"/>
        <v>0</v>
      </c>
      <c r="O43" s="156"/>
    </row>
    <row r="44" spans="1:15" s="119" customFormat="1" ht="13.15" hidden="1" customHeight="1" outlineLevel="1" x14ac:dyDescent="0.25">
      <c r="A44" s="26" t="str">
        <f>IF(K44="","",MAX(A$2:A43)+1)</f>
        <v/>
      </c>
      <c r="B44" s="205"/>
      <c r="C44" s="158" t="s">
        <v>142</v>
      </c>
      <c r="D44" s="149"/>
      <c r="E44" s="153">
        <v>2.35</v>
      </c>
      <c r="F44" s="153" t="s">
        <v>11</v>
      </c>
      <c r="G44" s="153">
        <f>15*0.11</f>
        <v>1.65</v>
      </c>
      <c r="H44" s="154" t="s">
        <v>12</v>
      </c>
      <c r="I44" s="153">
        <f t="shared" si="6"/>
        <v>3.8774999999999999</v>
      </c>
      <c r="J44" s="155"/>
      <c r="K44" s="150"/>
      <c r="L44" s="118"/>
      <c r="M44" s="118"/>
      <c r="N44" s="118">
        <f t="shared" si="5"/>
        <v>0</v>
      </c>
      <c r="O44" s="156"/>
    </row>
    <row r="45" spans="1:15" s="119" customFormat="1" ht="13.15" hidden="1" customHeight="1" outlineLevel="1" x14ac:dyDescent="0.25">
      <c r="A45" s="26" t="str">
        <f>IF(K45="","",MAX(A$2:A44)+1)</f>
        <v/>
      </c>
      <c r="B45" s="205"/>
      <c r="C45" s="158" t="s">
        <v>161</v>
      </c>
      <c r="D45" s="149"/>
      <c r="E45" s="153">
        <v>1.8</v>
      </c>
      <c r="F45" s="153" t="s">
        <v>11</v>
      </c>
      <c r="G45" s="153">
        <f>15*0.11/2</f>
        <v>0.82499999999999996</v>
      </c>
      <c r="H45" s="154" t="s">
        <v>12</v>
      </c>
      <c r="I45" s="153">
        <f t="shared" si="6"/>
        <v>1.4849999999999999</v>
      </c>
      <c r="J45" s="155"/>
      <c r="K45" s="150"/>
      <c r="L45" s="118"/>
      <c r="M45" s="118"/>
      <c r="N45" s="118">
        <f t="shared" si="5"/>
        <v>0</v>
      </c>
      <c r="O45" s="156"/>
    </row>
    <row r="46" spans="1:15" s="119" customFormat="1" ht="13.15" hidden="1" customHeight="1" outlineLevel="1" x14ac:dyDescent="0.25">
      <c r="A46" s="26" t="str">
        <f>IF(K46="","",MAX(A$2:A45)+1)</f>
        <v/>
      </c>
      <c r="B46" s="205"/>
      <c r="C46" s="142" t="s">
        <v>41</v>
      </c>
      <c r="D46" s="149"/>
      <c r="E46" s="153">
        <v>-1.3</v>
      </c>
      <c r="F46" s="153" t="s">
        <v>11</v>
      </c>
      <c r="G46" s="153">
        <v>1.3</v>
      </c>
      <c r="H46" s="153" t="s">
        <v>12</v>
      </c>
      <c r="I46" s="153">
        <f t="shared" ref="I46:I52" si="7">G46*E46</f>
        <v>-1.6900000000000002</v>
      </c>
      <c r="J46" s="157"/>
      <c r="K46" s="150"/>
      <c r="L46" s="118"/>
      <c r="M46" s="118"/>
      <c r="N46" s="118">
        <f t="shared" si="5"/>
        <v>0</v>
      </c>
      <c r="O46" s="151"/>
    </row>
    <row r="47" spans="1:15" s="119" customFormat="1" ht="13.15" hidden="1" customHeight="1" outlineLevel="1" x14ac:dyDescent="0.25">
      <c r="A47" s="26" t="str">
        <f>IF(K47="","",MAX(A$2:A46)+1)</f>
        <v/>
      </c>
      <c r="B47" s="205"/>
      <c r="C47" s="177"/>
      <c r="D47" s="149"/>
      <c r="E47" s="153">
        <v>-2</v>
      </c>
      <c r="F47" s="153" t="s">
        <v>11</v>
      </c>
      <c r="G47" s="153">
        <v>0.9</v>
      </c>
      <c r="H47" s="153" t="s">
        <v>12</v>
      </c>
      <c r="I47" s="153">
        <f t="shared" si="7"/>
        <v>-1.8</v>
      </c>
      <c r="J47" s="157"/>
      <c r="K47" s="150"/>
      <c r="L47" s="118"/>
      <c r="M47" s="118"/>
      <c r="N47" s="118">
        <f t="shared" si="5"/>
        <v>0</v>
      </c>
      <c r="O47" s="151"/>
    </row>
    <row r="48" spans="1:15" s="119" customFormat="1" ht="13.15" hidden="1" customHeight="1" outlineLevel="1" x14ac:dyDescent="0.25">
      <c r="A48" s="26" t="str">
        <f>IF(K48="","",MAX(A$2:A47)+1)</f>
        <v/>
      </c>
      <c r="B48" s="205"/>
      <c r="C48" s="177"/>
      <c r="D48" s="149"/>
      <c r="E48" s="153">
        <v>-0.7</v>
      </c>
      <c r="F48" s="153" t="s">
        <v>11</v>
      </c>
      <c r="G48" s="153">
        <v>0.7</v>
      </c>
      <c r="H48" s="153" t="s">
        <v>12</v>
      </c>
      <c r="I48" s="153">
        <f t="shared" si="7"/>
        <v>-0.48999999999999994</v>
      </c>
      <c r="J48" s="157"/>
      <c r="K48" s="150"/>
      <c r="L48" s="118"/>
      <c r="M48" s="118"/>
      <c r="N48" s="118">
        <f t="shared" si="5"/>
        <v>0</v>
      </c>
      <c r="O48" s="151"/>
    </row>
    <row r="49" spans="1:15" s="119" customFormat="1" ht="13.15" hidden="1" customHeight="1" outlineLevel="1" x14ac:dyDescent="0.25">
      <c r="A49" s="26" t="str">
        <f>IF(K49="","",MAX(A$2:A48)+1)</f>
        <v/>
      </c>
      <c r="B49" s="205"/>
      <c r="C49" s="142" t="s">
        <v>58</v>
      </c>
      <c r="D49" s="149"/>
      <c r="E49" s="153">
        <v>-4</v>
      </c>
      <c r="F49" s="149" t="s">
        <v>11</v>
      </c>
      <c r="G49" s="153">
        <f>1.93*(25*0.11)+1.72*(8*0.11)</f>
        <v>6.8211000000000004</v>
      </c>
      <c r="H49" s="149" t="s">
        <v>12</v>
      </c>
      <c r="I49" s="153">
        <f t="shared" si="7"/>
        <v>-27.284400000000002</v>
      </c>
      <c r="J49" s="157"/>
      <c r="K49" s="150"/>
      <c r="L49" s="118"/>
      <c r="M49" s="118"/>
      <c r="N49" s="118">
        <f t="shared" si="5"/>
        <v>0</v>
      </c>
      <c r="O49" s="151"/>
    </row>
    <row r="50" spans="1:15" s="119" customFormat="1" ht="13.15" hidden="1" customHeight="1" outlineLevel="1" x14ac:dyDescent="0.25">
      <c r="A50" s="26" t="str">
        <f>IF(K50="","",MAX(A$2:A49)+1)</f>
        <v/>
      </c>
      <c r="B50" s="205"/>
      <c r="C50" s="152"/>
      <c r="D50" s="149"/>
      <c r="E50" s="153">
        <v>-1</v>
      </c>
      <c r="F50" s="153" t="s">
        <v>11</v>
      </c>
      <c r="G50" s="153">
        <f>1.1*1.2+0.66*1.2</f>
        <v>2.1120000000000001</v>
      </c>
      <c r="H50" s="154" t="s">
        <v>12</v>
      </c>
      <c r="I50" s="153">
        <f t="shared" si="7"/>
        <v>-2.1120000000000001</v>
      </c>
      <c r="J50" s="157"/>
      <c r="K50" s="150"/>
      <c r="L50" s="118"/>
      <c r="M50" s="118"/>
      <c r="N50" s="118">
        <f t="shared" si="5"/>
        <v>0</v>
      </c>
    </row>
    <row r="51" spans="1:15" s="119" customFormat="1" ht="13.15" hidden="1" customHeight="1" outlineLevel="1" x14ac:dyDescent="0.25">
      <c r="A51" s="26" t="str">
        <f>IF(K51="","",MAX(A$2:A50)+1)</f>
        <v/>
      </c>
      <c r="B51" s="205"/>
      <c r="C51" s="148"/>
      <c r="D51" s="162"/>
      <c r="E51" s="153">
        <v>-1</v>
      </c>
      <c r="F51" s="153" t="s">
        <v>11</v>
      </c>
      <c r="G51" s="153">
        <f>2.2*1.42</f>
        <v>3.1240000000000001</v>
      </c>
      <c r="H51" s="154" t="s">
        <v>12</v>
      </c>
      <c r="I51" s="153">
        <f t="shared" si="7"/>
        <v>-3.1240000000000001</v>
      </c>
      <c r="J51" s="157"/>
      <c r="K51" s="150"/>
      <c r="L51" s="118"/>
      <c r="M51" s="118"/>
      <c r="N51" s="118">
        <f t="shared" si="5"/>
        <v>0</v>
      </c>
      <c r="O51" s="151"/>
    </row>
    <row r="52" spans="1:15" s="119" customFormat="1" ht="13.15" hidden="1" customHeight="1" outlineLevel="1" x14ac:dyDescent="0.25">
      <c r="A52" s="26" t="str">
        <f>IF(K52="","",MAX(A$2:A51)+1)</f>
        <v/>
      </c>
      <c r="B52" s="205"/>
      <c r="C52" s="142" t="s">
        <v>100</v>
      </c>
      <c r="D52" s="162"/>
      <c r="E52" s="153">
        <v>-1</v>
      </c>
      <c r="F52" s="153" t="s">
        <v>11</v>
      </c>
      <c r="G52" s="153">
        <f>0.55*0.9</f>
        <v>0.49500000000000005</v>
      </c>
      <c r="H52" s="154" t="s">
        <v>12</v>
      </c>
      <c r="I52" s="153">
        <f t="shared" si="7"/>
        <v>-0.49500000000000005</v>
      </c>
      <c r="J52" s="157"/>
      <c r="K52" s="150"/>
      <c r="L52" s="118"/>
      <c r="M52" s="118"/>
      <c r="N52" s="118">
        <f t="shared" si="5"/>
        <v>0</v>
      </c>
      <c r="O52" s="151"/>
    </row>
    <row r="53" spans="1:15" s="119" customFormat="1" ht="13.15" hidden="1" customHeight="1" outlineLevel="1" x14ac:dyDescent="0.25">
      <c r="A53" s="26" t="str">
        <f>IF(K53="","",MAX(A$2:A52)+1)</f>
        <v/>
      </c>
      <c r="B53" s="205"/>
      <c r="C53" s="185" t="s">
        <v>176</v>
      </c>
      <c r="D53" s="149"/>
      <c r="E53" s="153"/>
      <c r="F53" s="153"/>
      <c r="G53" s="153"/>
      <c r="H53" s="154"/>
      <c r="I53" s="153">
        <f t="shared" ref="I53" si="8">+G53*E53</f>
        <v>0</v>
      </c>
      <c r="J53" s="155"/>
      <c r="K53" s="150"/>
      <c r="L53" s="118"/>
      <c r="M53" s="118"/>
      <c r="N53" s="118">
        <f t="shared" si="5"/>
        <v>0</v>
      </c>
      <c r="O53" s="156"/>
    </row>
    <row r="54" spans="1:15" s="119" customFormat="1" ht="13.15" hidden="1" customHeight="1" outlineLevel="1" x14ac:dyDescent="0.25">
      <c r="A54" s="26" t="str">
        <f>IF(K54="","",MAX(A$2:A53)+1)</f>
        <v/>
      </c>
      <c r="B54" s="205"/>
      <c r="C54" s="142" t="s">
        <v>108</v>
      </c>
      <c r="D54" s="149"/>
      <c r="E54" s="153">
        <v>40.5</v>
      </c>
      <c r="F54" s="153" t="s">
        <v>11</v>
      </c>
      <c r="G54" s="153">
        <v>6.2</v>
      </c>
      <c r="H54" s="154" t="s">
        <v>12</v>
      </c>
      <c r="I54" s="153">
        <f>+G54*E54</f>
        <v>251.1</v>
      </c>
      <c r="J54" s="150"/>
      <c r="K54" s="150"/>
      <c r="L54" s="118"/>
      <c r="M54" s="118"/>
      <c r="N54" s="118">
        <f t="shared" si="5"/>
        <v>0</v>
      </c>
      <c r="O54" s="156"/>
    </row>
    <row r="55" spans="1:15" s="119" customFormat="1" ht="13.15" hidden="1" customHeight="1" outlineLevel="1" x14ac:dyDescent="0.25">
      <c r="A55" s="26" t="str">
        <f>IF(K55="","",MAX(A$2:A54)+1)</f>
        <v/>
      </c>
      <c r="B55" s="205"/>
      <c r="C55" s="142" t="s">
        <v>110</v>
      </c>
      <c r="D55" s="149"/>
      <c r="E55" s="153">
        <v>40.5</v>
      </c>
      <c r="F55" s="153" t="s">
        <v>11</v>
      </c>
      <c r="G55" s="153">
        <f>35*0.11</f>
        <v>3.85</v>
      </c>
      <c r="H55" s="154" t="s">
        <v>12</v>
      </c>
      <c r="I55" s="153">
        <f>+G55*E55</f>
        <v>155.92500000000001</v>
      </c>
      <c r="J55" s="150"/>
      <c r="K55" s="150"/>
      <c r="L55" s="118"/>
      <c r="M55" s="118"/>
      <c r="N55" s="118">
        <f t="shared" si="5"/>
        <v>0</v>
      </c>
      <c r="O55" s="156"/>
    </row>
    <row r="56" spans="1:15" s="119" customFormat="1" ht="13.15" hidden="1" customHeight="1" outlineLevel="1" x14ac:dyDescent="0.25">
      <c r="A56" s="26" t="str">
        <f>IF(K56="","",MAX(A$2:A55)+1)</f>
        <v/>
      </c>
      <c r="B56" s="205"/>
      <c r="C56" s="142" t="s">
        <v>111</v>
      </c>
      <c r="D56" s="149"/>
      <c r="E56" s="153">
        <v>10.199999999999999</v>
      </c>
      <c r="F56" s="153" t="s">
        <v>11</v>
      </c>
      <c r="G56" s="153">
        <f>21*0.11/2</f>
        <v>1.155</v>
      </c>
      <c r="H56" s="154" t="s">
        <v>12</v>
      </c>
      <c r="I56" s="153">
        <f>+G56*E56</f>
        <v>11.780999999999999</v>
      </c>
      <c r="J56" s="150"/>
      <c r="K56" s="150"/>
      <c r="L56" s="118"/>
      <c r="M56" s="118"/>
      <c r="N56" s="118">
        <f t="shared" si="5"/>
        <v>0</v>
      </c>
      <c r="O56" s="156"/>
    </row>
    <row r="57" spans="1:15" s="119" customFormat="1" ht="13.15" hidden="1" customHeight="1" outlineLevel="1" x14ac:dyDescent="0.25">
      <c r="A57" s="26" t="str">
        <f>IF(K57="","",MAX(A$2:A56)+1)</f>
        <v/>
      </c>
      <c r="B57" s="205"/>
      <c r="C57" s="142" t="s">
        <v>112</v>
      </c>
      <c r="D57" s="149"/>
      <c r="E57" s="153">
        <v>9.25</v>
      </c>
      <c r="F57" s="153" t="s">
        <v>11</v>
      </c>
      <c r="G57" s="153">
        <f>6.5/2</f>
        <v>3.25</v>
      </c>
      <c r="H57" s="154" t="s">
        <v>12</v>
      </c>
      <c r="I57" s="153">
        <f>+G57*E57</f>
        <v>30.0625</v>
      </c>
      <c r="J57" s="150"/>
      <c r="K57" s="150"/>
      <c r="L57" s="118"/>
      <c r="M57" s="118"/>
      <c r="N57" s="118">
        <f t="shared" si="5"/>
        <v>0</v>
      </c>
      <c r="O57" s="156"/>
    </row>
    <row r="58" spans="1:15" s="119" customFormat="1" ht="13.15" hidden="1" customHeight="1" outlineLevel="1" x14ac:dyDescent="0.25">
      <c r="A58" s="26" t="str">
        <f>IF(K58="","",MAX(A$2:A57)+1)</f>
        <v/>
      </c>
      <c r="B58" s="205"/>
      <c r="C58" s="142" t="s">
        <v>113</v>
      </c>
      <c r="D58" s="149"/>
      <c r="E58" s="153">
        <v>7</v>
      </c>
      <c r="F58" s="153" t="s">
        <v>11</v>
      </c>
      <c r="G58" s="153">
        <f>6.8/2</f>
        <v>3.4</v>
      </c>
      <c r="H58" s="154" t="s">
        <v>12</v>
      </c>
      <c r="I58" s="153">
        <f>G58*E58</f>
        <v>23.8</v>
      </c>
      <c r="J58" s="150"/>
      <c r="K58" s="150"/>
      <c r="L58" s="118"/>
      <c r="M58" s="118"/>
      <c r="N58" s="118">
        <f t="shared" si="5"/>
        <v>0</v>
      </c>
      <c r="O58" s="156"/>
    </row>
    <row r="59" spans="1:15" s="119" customFormat="1" ht="13.15" hidden="1" customHeight="1" outlineLevel="1" x14ac:dyDescent="0.25">
      <c r="A59" s="26" t="str">
        <f>IF(K59="","",MAX(A$2:A58)+1)</f>
        <v/>
      </c>
      <c r="B59" s="205"/>
      <c r="C59" s="142" t="s">
        <v>58</v>
      </c>
      <c r="D59" s="149"/>
      <c r="E59" s="153">
        <v>-9</v>
      </c>
      <c r="F59" s="153" t="s">
        <v>11</v>
      </c>
      <c r="G59" s="153">
        <v>3</v>
      </c>
      <c r="H59" s="154" t="s">
        <v>12</v>
      </c>
      <c r="I59" s="153">
        <f>G59*E59</f>
        <v>-27</v>
      </c>
      <c r="J59" s="150"/>
      <c r="K59" s="150"/>
      <c r="L59" s="118"/>
      <c r="M59" s="118"/>
      <c r="N59" s="118">
        <f t="shared" si="5"/>
        <v>0</v>
      </c>
      <c r="O59" s="151"/>
    </row>
    <row r="60" spans="1:15" s="119" customFormat="1" ht="13.15" hidden="1" customHeight="1" outlineLevel="1" x14ac:dyDescent="0.25">
      <c r="A60" s="26" t="str">
        <f>IF(K60="","",MAX(A$2:A59)+1)</f>
        <v/>
      </c>
      <c r="B60" s="205"/>
      <c r="C60" s="142" t="s">
        <v>41</v>
      </c>
      <c r="D60" s="149"/>
      <c r="E60" s="153">
        <v>-1</v>
      </c>
      <c r="F60" s="153" t="s">
        <v>11</v>
      </c>
      <c r="G60" s="153">
        <v>9.4</v>
      </c>
      <c r="H60" s="154" t="s">
        <v>12</v>
      </c>
      <c r="I60" s="153">
        <f>G60*E60</f>
        <v>-9.4</v>
      </c>
      <c r="J60" s="150"/>
      <c r="K60" s="150"/>
      <c r="L60" s="118"/>
      <c r="M60" s="118"/>
      <c r="N60" s="118">
        <f t="shared" si="5"/>
        <v>0</v>
      </c>
      <c r="O60" s="151"/>
    </row>
    <row r="61" spans="1:15" s="119" customFormat="1" ht="13.15" hidden="1" customHeight="1" outlineLevel="1" x14ac:dyDescent="0.25">
      <c r="A61" s="26" t="str">
        <f>IF(K61="","",MAX(A$2:A60)+1)</f>
        <v/>
      </c>
      <c r="B61" s="205"/>
      <c r="C61" s="142" t="s">
        <v>244</v>
      </c>
      <c r="D61" s="149"/>
      <c r="E61" s="153">
        <v>-4</v>
      </c>
      <c r="F61" s="153" t="s">
        <v>11</v>
      </c>
      <c r="G61" s="153">
        <f>0.9*0.6</f>
        <v>0.54</v>
      </c>
      <c r="H61" s="154" t="s">
        <v>12</v>
      </c>
      <c r="I61" s="153">
        <f>G61*E61</f>
        <v>-2.16</v>
      </c>
      <c r="J61" s="150"/>
      <c r="K61" s="150"/>
      <c r="L61" s="118"/>
      <c r="M61" s="118"/>
      <c r="N61" s="118">
        <f t="shared" si="5"/>
        <v>0</v>
      </c>
      <c r="O61" s="151"/>
    </row>
    <row r="62" spans="1:15" s="119" customFormat="1" ht="13.15" hidden="1" customHeight="1" outlineLevel="1" x14ac:dyDescent="0.25">
      <c r="A62" s="26" t="str">
        <f>IF(K62="","",MAX(A$2:A61)+1)</f>
        <v/>
      </c>
      <c r="B62" s="205"/>
      <c r="C62" s="185" t="s">
        <v>241</v>
      </c>
      <c r="D62" s="149"/>
      <c r="E62" s="153"/>
      <c r="F62" s="153"/>
      <c r="G62" s="153"/>
      <c r="H62" s="154"/>
      <c r="I62" s="153">
        <f t="shared" ref="I62" si="9">+G62*E62</f>
        <v>0</v>
      </c>
      <c r="J62" s="155"/>
      <c r="K62" s="150"/>
      <c r="L62" s="118"/>
      <c r="M62" s="118"/>
      <c r="N62" s="118">
        <f t="shared" ref="N62" si="10">+M62*L62</f>
        <v>0</v>
      </c>
      <c r="O62" s="156"/>
    </row>
    <row r="63" spans="1:15" s="119" customFormat="1" ht="13.15" hidden="1" customHeight="1" outlineLevel="1" x14ac:dyDescent="0.25">
      <c r="A63" s="26" t="str">
        <f>IF(K63="","",MAX(A$2:A62)+1)</f>
        <v/>
      </c>
      <c r="B63" s="205"/>
      <c r="C63" s="142" t="s">
        <v>124</v>
      </c>
      <c r="D63" s="149"/>
      <c r="E63" s="153">
        <f>5.25+9.8</f>
        <v>15.05</v>
      </c>
      <c r="F63" s="153" t="s">
        <v>11</v>
      </c>
      <c r="G63" s="153">
        <f>3.8/2</f>
        <v>1.9</v>
      </c>
      <c r="H63" s="154" t="s">
        <v>12</v>
      </c>
      <c r="I63" s="153">
        <f>+G63*E63</f>
        <v>28.594999999999999</v>
      </c>
      <c r="J63" s="157"/>
      <c r="K63" s="150"/>
      <c r="L63" s="118"/>
      <c r="M63" s="118"/>
      <c r="N63" s="118">
        <f t="shared" si="5"/>
        <v>0</v>
      </c>
      <c r="O63" s="156"/>
    </row>
    <row r="64" spans="1:15" s="119" customFormat="1" ht="13.15" hidden="1" customHeight="1" outlineLevel="1" x14ac:dyDescent="0.25">
      <c r="A64" s="26" t="str">
        <f>IF(K64="","",MAX(A$2:A63)+1)</f>
        <v/>
      </c>
      <c r="B64" s="205"/>
      <c r="C64" s="142" t="s">
        <v>108</v>
      </c>
      <c r="D64" s="149" t="s">
        <v>128</v>
      </c>
      <c r="E64" s="153">
        <v>4.7</v>
      </c>
      <c r="F64" s="153" t="s">
        <v>11</v>
      </c>
      <c r="G64" s="153">
        <f>1.6/2</f>
        <v>0.8</v>
      </c>
      <c r="H64" s="154" t="s">
        <v>12</v>
      </c>
      <c r="I64" s="153">
        <f>+G64*E64*2</f>
        <v>7.5200000000000005</v>
      </c>
      <c r="J64" s="157"/>
      <c r="K64" s="150"/>
      <c r="L64" s="118"/>
      <c r="M64" s="118"/>
      <c r="N64" s="118">
        <f t="shared" si="5"/>
        <v>0</v>
      </c>
      <c r="O64" s="156"/>
    </row>
    <row r="65" spans="1:15" s="119" customFormat="1" ht="13.15" hidden="1" customHeight="1" outlineLevel="1" x14ac:dyDescent="0.25">
      <c r="A65" s="26" t="str">
        <f>IF(K65="","",MAX(A$2:A64)+1)</f>
        <v/>
      </c>
      <c r="B65" s="205"/>
      <c r="C65" s="142" t="s">
        <v>125</v>
      </c>
      <c r="D65" s="149"/>
      <c r="E65" s="153">
        <v>6.1</v>
      </c>
      <c r="F65" s="153" t="s">
        <v>11</v>
      </c>
      <c r="G65" s="153">
        <f>3.8/2</f>
        <v>1.9</v>
      </c>
      <c r="H65" s="154" t="s">
        <v>12</v>
      </c>
      <c r="I65" s="153">
        <f>+G65*E65</f>
        <v>11.589999999999998</v>
      </c>
      <c r="J65" s="157"/>
      <c r="K65" s="150"/>
      <c r="L65" s="118"/>
      <c r="M65" s="118"/>
      <c r="N65" s="118">
        <f t="shared" si="5"/>
        <v>0</v>
      </c>
      <c r="O65" s="156"/>
    </row>
    <row r="66" spans="1:15" s="119" customFormat="1" ht="13.15" hidden="1" customHeight="1" outlineLevel="1" x14ac:dyDescent="0.25">
      <c r="A66" s="26" t="str">
        <f>IF(K66="","",MAX(A$2:A65)+1)</f>
        <v/>
      </c>
      <c r="B66" s="205"/>
      <c r="C66" s="142" t="s">
        <v>126</v>
      </c>
      <c r="D66" s="149"/>
      <c r="E66" s="153">
        <v>6.1</v>
      </c>
      <c r="F66" s="153" t="s">
        <v>11</v>
      </c>
      <c r="G66" s="153">
        <f>3.8/2</f>
        <v>1.9</v>
      </c>
      <c r="H66" s="154" t="s">
        <v>12</v>
      </c>
      <c r="I66" s="153">
        <f>+G66*E66</f>
        <v>11.589999999999998</v>
      </c>
      <c r="J66" s="157"/>
      <c r="K66" s="150"/>
      <c r="L66" s="118"/>
      <c r="M66" s="118"/>
      <c r="N66" s="118">
        <f t="shared" si="5"/>
        <v>0</v>
      </c>
      <c r="O66" s="156"/>
    </row>
    <row r="67" spans="1:15" s="119" customFormat="1" ht="13.15" hidden="1" customHeight="1" outlineLevel="1" x14ac:dyDescent="0.25">
      <c r="A67" s="26" t="str">
        <f>IF(K67="","",MAX(A$2:A66)+1)</f>
        <v/>
      </c>
      <c r="B67" s="205"/>
      <c r="C67" s="142" t="s">
        <v>130</v>
      </c>
      <c r="D67" s="149" t="s">
        <v>128</v>
      </c>
      <c r="E67" s="153">
        <v>1.2</v>
      </c>
      <c r="F67" s="153" t="s">
        <v>11</v>
      </c>
      <c r="G67" s="153">
        <v>1.3</v>
      </c>
      <c r="H67" s="154" t="s">
        <v>12</v>
      </c>
      <c r="I67" s="153">
        <f>+G67*E67*2</f>
        <v>3.12</v>
      </c>
      <c r="J67" s="157"/>
      <c r="K67" s="150"/>
      <c r="L67" s="118"/>
      <c r="M67" s="118"/>
      <c r="N67" s="118">
        <f t="shared" si="5"/>
        <v>0</v>
      </c>
      <c r="O67" s="156"/>
    </row>
    <row r="68" spans="1:15" s="119" customFormat="1" ht="13.15" hidden="1" customHeight="1" outlineLevel="1" x14ac:dyDescent="0.25">
      <c r="A68" s="26" t="str">
        <f>IF(K68="","",MAX(A$2:A67)+1)</f>
        <v/>
      </c>
      <c r="B68" s="205"/>
      <c r="C68" s="142" t="s">
        <v>127</v>
      </c>
      <c r="D68" s="149"/>
      <c r="E68" s="153">
        <v>-1</v>
      </c>
      <c r="F68" s="153" t="s">
        <v>11</v>
      </c>
      <c r="G68" s="153">
        <f>0.6*0.4</f>
        <v>0.24</v>
      </c>
      <c r="H68" s="154" t="s">
        <v>12</v>
      </c>
      <c r="I68" s="153">
        <f>G68*E68</f>
        <v>-0.24</v>
      </c>
      <c r="J68" s="157"/>
      <c r="K68" s="150"/>
      <c r="L68" s="118"/>
      <c r="M68" s="118"/>
      <c r="N68" s="118">
        <f t="shared" si="5"/>
        <v>0</v>
      </c>
      <c r="O68" s="151"/>
    </row>
    <row r="69" spans="1:15" s="119" customFormat="1" ht="13.15" hidden="1" customHeight="1" outlineLevel="1" x14ac:dyDescent="0.25">
      <c r="A69" s="26" t="str">
        <f>IF(K69="","",MAX(A$2:A68)+1)</f>
        <v/>
      </c>
      <c r="B69" s="205"/>
      <c r="C69" s="185" t="s">
        <v>177</v>
      </c>
      <c r="D69" s="149"/>
      <c r="E69" s="153"/>
      <c r="F69" s="153"/>
      <c r="G69" s="153"/>
      <c r="H69" s="154"/>
      <c r="I69" s="153">
        <f t="shared" ref="I69" si="11">+G69*E69</f>
        <v>0</v>
      </c>
      <c r="J69" s="155"/>
      <c r="K69" s="150"/>
      <c r="L69" s="118"/>
      <c r="M69" s="118"/>
      <c r="N69" s="118">
        <f t="shared" si="5"/>
        <v>0</v>
      </c>
      <c r="O69" s="156"/>
    </row>
    <row r="70" spans="1:15" s="176" customFormat="1" ht="13.15" hidden="1" customHeight="1" outlineLevel="1" x14ac:dyDescent="0.25">
      <c r="A70" s="26" t="str">
        <f>IF(K70="","",MAX(A$2:A69)+1)</f>
        <v/>
      </c>
      <c r="B70" s="206"/>
      <c r="C70" s="142" t="s">
        <v>141</v>
      </c>
      <c r="D70" s="148"/>
      <c r="E70" s="153">
        <f>7.4</f>
        <v>7.4</v>
      </c>
      <c r="F70" s="178" t="s">
        <v>11</v>
      </c>
      <c r="G70" s="178">
        <f>4.25/2</f>
        <v>2.125</v>
      </c>
      <c r="H70" s="179" t="s">
        <v>12</v>
      </c>
      <c r="I70" s="178">
        <f>+G70*E70</f>
        <v>15.725000000000001</v>
      </c>
      <c r="J70" s="180"/>
      <c r="K70" s="181"/>
      <c r="L70" s="182"/>
      <c r="M70" s="182"/>
      <c r="N70" s="182">
        <f t="shared" si="5"/>
        <v>0</v>
      </c>
      <c r="O70" s="183"/>
    </row>
    <row r="71" spans="1:15" s="176" customFormat="1" ht="13.15" hidden="1" customHeight="1" outlineLevel="1" x14ac:dyDescent="0.25">
      <c r="A71" s="26" t="str">
        <f>IF(K71="","",MAX(A$2:A70)+1)</f>
        <v/>
      </c>
      <c r="B71" s="206"/>
      <c r="C71" s="142" t="s">
        <v>142</v>
      </c>
      <c r="D71" s="148"/>
      <c r="E71" s="153">
        <v>6.6</v>
      </c>
      <c r="F71" s="178" t="s">
        <v>11</v>
      </c>
      <c r="G71" s="178">
        <f>4.25/2</f>
        <v>2.125</v>
      </c>
      <c r="H71" s="179" t="s">
        <v>12</v>
      </c>
      <c r="I71" s="178">
        <f>+G71*E71</f>
        <v>14.024999999999999</v>
      </c>
      <c r="J71" s="180"/>
      <c r="K71" s="181"/>
      <c r="L71" s="182"/>
      <c r="M71" s="182"/>
      <c r="N71" s="182">
        <f t="shared" si="5"/>
        <v>0</v>
      </c>
      <c r="O71" s="183"/>
    </row>
    <row r="72" spans="1:15" s="176" customFormat="1" ht="13.15" hidden="1" customHeight="1" outlineLevel="1" x14ac:dyDescent="0.25">
      <c r="A72" s="26" t="str">
        <f>IF(K72="","",MAX(A$2:A71)+1)</f>
        <v/>
      </c>
      <c r="B72" s="206"/>
      <c r="C72" s="142" t="s">
        <v>108</v>
      </c>
      <c r="D72" s="148"/>
      <c r="E72" s="153">
        <f>7.4</f>
        <v>7.4</v>
      </c>
      <c r="F72" s="178" t="s">
        <v>11</v>
      </c>
      <c r="G72" s="178">
        <f>4.25/2</f>
        <v>2.125</v>
      </c>
      <c r="H72" s="179" t="s">
        <v>12</v>
      </c>
      <c r="I72" s="178">
        <f>+G72*E72</f>
        <v>15.725000000000001</v>
      </c>
      <c r="J72" s="180"/>
      <c r="K72" s="181"/>
      <c r="L72" s="182"/>
      <c r="M72" s="182"/>
      <c r="N72" s="182">
        <f t="shared" si="5"/>
        <v>0</v>
      </c>
      <c r="O72" s="183"/>
    </row>
    <row r="73" spans="1:15" s="176" customFormat="1" ht="13.15" hidden="1" customHeight="1" outlineLevel="1" x14ac:dyDescent="0.25">
      <c r="A73" s="26" t="str">
        <f>IF(K73="","",MAX(A$2:A72)+1)</f>
        <v/>
      </c>
      <c r="B73" s="206"/>
      <c r="C73" s="142" t="s">
        <v>135</v>
      </c>
      <c r="D73" s="148"/>
      <c r="E73" s="153">
        <v>6.6</v>
      </c>
      <c r="F73" s="178" t="s">
        <v>11</v>
      </c>
      <c r="G73" s="178">
        <v>2.13</v>
      </c>
      <c r="H73" s="179" t="s">
        <v>12</v>
      </c>
      <c r="I73" s="178">
        <f>+G73*E73</f>
        <v>14.057999999999998</v>
      </c>
      <c r="J73" s="180"/>
      <c r="K73" s="181"/>
      <c r="L73" s="182"/>
      <c r="M73" s="182"/>
      <c r="N73" s="182">
        <f t="shared" si="5"/>
        <v>0</v>
      </c>
      <c r="O73" s="183"/>
    </row>
    <row r="74" spans="1:15" s="176" customFormat="1" ht="13.15" hidden="1" customHeight="1" outlineLevel="1" x14ac:dyDescent="0.25">
      <c r="A74" s="26" t="str">
        <f>IF(K74="","",MAX(A$2:A73)+1)</f>
        <v/>
      </c>
      <c r="B74" s="206"/>
      <c r="C74" s="142"/>
      <c r="D74" s="148"/>
      <c r="E74" s="153"/>
      <c r="F74" s="178"/>
      <c r="G74" s="178"/>
      <c r="H74" s="179" t="s">
        <v>12</v>
      </c>
      <c r="I74" s="178">
        <f>-2.7*1.5/2</f>
        <v>-2.0250000000000004</v>
      </c>
      <c r="J74" s="180"/>
      <c r="K74" s="181"/>
      <c r="L74" s="182"/>
      <c r="M74" s="182"/>
      <c r="N74" s="182">
        <f t="shared" si="5"/>
        <v>0</v>
      </c>
      <c r="O74" s="183"/>
    </row>
    <row r="75" spans="1:15" s="176" customFormat="1" ht="13.15" hidden="1" customHeight="1" outlineLevel="1" x14ac:dyDescent="0.25">
      <c r="A75" s="26" t="str">
        <f>IF(K75="","",MAX(A$2:A74)+1)</f>
        <v/>
      </c>
      <c r="B75" s="206"/>
      <c r="C75" s="142" t="s">
        <v>143</v>
      </c>
      <c r="D75" s="148"/>
      <c r="E75" s="153">
        <v>7.8529999999999998</v>
      </c>
      <c r="F75" s="178" t="s">
        <v>11</v>
      </c>
      <c r="G75" s="178">
        <v>2.5</v>
      </c>
      <c r="H75" s="179" t="s">
        <v>12</v>
      </c>
      <c r="I75" s="178">
        <f>+G75*E75</f>
        <v>19.6325</v>
      </c>
      <c r="J75" s="180"/>
      <c r="K75" s="181"/>
      <c r="L75" s="182"/>
      <c r="M75" s="182"/>
      <c r="N75" s="182">
        <f t="shared" si="5"/>
        <v>0</v>
      </c>
      <c r="O75" s="183"/>
    </row>
    <row r="76" spans="1:15" s="176" customFormat="1" ht="13.15" hidden="1" customHeight="1" outlineLevel="1" x14ac:dyDescent="0.25">
      <c r="A76" s="26" t="str">
        <f>IF(K76="","",MAX(A$2:A75)+1)</f>
        <v/>
      </c>
      <c r="B76" s="206"/>
      <c r="C76" s="142" t="s">
        <v>144</v>
      </c>
      <c r="D76" s="148"/>
      <c r="E76" s="153">
        <v>7.85</v>
      </c>
      <c r="F76" s="178" t="s">
        <v>11</v>
      </c>
      <c r="G76" s="178">
        <v>2.5</v>
      </c>
      <c r="H76" s="179" t="s">
        <v>12</v>
      </c>
      <c r="I76" s="178">
        <f>+G76*E76</f>
        <v>19.625</v>
      </c>
      <c r="J76" s="180"/>
      <c r="K76" s="181"/>
      <c r="L76" s="182"/>
      <c r="M76" s="182"/>
      <c r="N76" s="182">
        <f t="shared" si="5"/>
        <v>0</v>
      </c>
      <c r="O76" s="183"/>
    </row>
    <row r="77" spans="1:15" s="176" customFormat="1" ht="13.15" hidden="1" customHeight="1" outlineLevel="1" x14ac:dyDescent="0.25">
      <c r="A77" s="26" t="str">
        <f>IF(K77="","",MAX(A$2:A76)+1)</f>
        <v/>
      </c>
      <c r="B77" s="206"/>
      <c r="C77" s="142" t="s">
        <v>145</v>
      </c>
      <c r="D77" s="148"/>
      <c r="E77" s="153">
        <v>7.5</v>
      </c>
      <c r="F77" s="178" t="s">
        <v>11</v>
      </c>
      <c r="G77" s="178">
        <f>13*0.11</f>
        <v>1.43</v>
      </c>
      <c r="H77" s="179" t="s">
        <v>12</v>
      </c>
      <c r="I77" s="178">
        <f>+G77*E77</f>
        <v>10.725</v>
      </c>
      <c r="J77" s="180"/>
      <c r="K77" s="181"/>
      <c r="L77" s="182"/>
      <c r="M77" s="182"/>
      <c r="N77" s="182">
        <f t="shared" si="5"/>
        <v>0</v>
      </c>
      <c r="O77" s="183"/>
    </row>
    <row r="78" spans="1:15" s="176" customFormat="1" ht="13.15" hidden="1" customHeight="1" outlineLevel="1" x14ac:dyDescent="0.25">
      <c r="A78" s="26" t="str">
        <f>IF(K78="","",MAX(A$2:A77)+1)</f>
        <v/>
      </c>
      <c r="B78" s="206"/>
      <c r="C78" s="142" t="s">
        <v>146</v>
      </c>
      <c r="D78" s="148"/>
      <c r="E78" s="153"/>
      <c r="F78" s="178"/>
      <c r="G78" s="178"/>
      <c r="H78" s="179" t="s">
        <v>12</v>
      </c>
      <c r="I78" s="178">
        <v>5</v>
      </c>
      <c r="J78" s="180"/>
      <c r="K78" s="181"/>
      <c r="L78" s="182"/>
      <c r="M78" s="182"/>
      <c r="N78" s="182">
        <f t="shared" si="5"/>
        <v>0</v>
      </c>
      <c r="O78" s="183"/>
    </row>
    <row r="79" spans="1:15" s="176" customFormat="1" ht="13.15" hidden="1" customHeight="1" outlineLevel="1" x14ac:dyDescent="0.25">
      <c r="A79" s="26" t="str">
        <f>IF(K79="","",MAX(A$2:A78)+1)</f>
        <v/>
      </c>
      <c r="B79" s="206"/>
      <c r="C79" s="142" t="s">
        <v>127</v>
      </c>
      <c r="D79" s="148"/>
      <c r="E79" s="153">
        <v>-1</v>
      </c>
      <c r="F79" s="178" t="s">
        <v>11</v>
      </c>
      <c r="G79" s="178">
        <f>1.45*2.3</f>
        <v>3.3349999999999995</v>
      </c>
      <c r="H79" s="179" t="s">
        <v>12</v>
      </c>
      <c r="I79" s="178">
        <f>G79*E79</f>
        <v>-3.3349999999999995</v>
      </c>
      <c r="J79" s="180"/>
      <c r="K79" s="181"/>
      <c r="L79" s="182"/>
      <c r="M79" s="182"/>
      <c r="N79" s="182">
        <f t="shared" si="5"/>
        <v>0</v>
      </c>
      <c r="O79" s="184"/>
    </row>
    <row r="80" spans="1:15" s="119" customFormat="1" ht="7.15" hidden="1" customHeight="1" outlineLevel="1" x14ac:dyDescent="0.25">
      <c r="A80" s="26" t="str">
        <f>IF(K80="","",MAX(A$2:A79)+1)</f>
        <v/>
      </c>
      <c r="B80" s="205"/>
      <c r="C80" s="142"/>
      <c r="D80" s="162"/>
      <c r="E80" s="153"/>
      <c r="F80" s="153"/>
      <c r="G80" s="153"/>
      <c r="H80" s="154"/>
      <c r="I80" s="153"/>
      <c r="J80" s="157"/>
      <c r="K80" s="150"/>
      <c r="L80" s="118"/>
      <c r="M80" s="118"/>
      <c r="N80" s="118"/>
      <c r="O80" s="151"/>
    </row>
    <row r="81" spans="1:15" s="119" customFormat="1" ht="13.15" hidden="1" customHeight="1" outlineLevel="1" x14ac:dyDescent="0.25">
      <c r="A81" s="26" t="str">
        <f>IF(K81="","",MAX(A$2:A80)+1)</f>
        <v/>
      </c>
      <c r="B81" s="205"/>
      <c r="C81" s="142"/>
      <c r="D81" s="162"/>
      <c r="E81" s="153"/>
      <c r="F81" s="153"/>
      <c r="G81" s="153"/>
      <c r="H81" s="154"/>
      <c r="I81" s="161">
        <f>SUM(I36:I79)</f>
        <v>779.30716000000018</v>
      </c>
      <c r="J81" s="157"/>
      <c r="K81" s="150"/>
      <c r="L81" s="118"/>
      <c r="M81" s="118"/>
      <c r="N81" s="118"/>
      <c r="O81" s="151"/>
    </row>
    <row r="82" spans="1:15" ht="15" customHeight="1" x14ac:dyDescent="0.25">
      <c r="A82" s="26" t="str">
        <f>IF(K82="","",MAX(A$2:A81)+1)</f>
        <v/>
      </c>
      <c r="B82" s="14"/>
      <c r="C82" s="43"/>
      <c r="D82" s="48"/>
      <c r="E82" s="41"/>
      <c r="F82" s="41"/>
      <c r="G82" s="41"/>
      <c r="H82" s="103"/>
      <c r="I82" s="103"/>
      <c r="J82" s="49"/>
      <c r="K82" s="88"/>
      <c r="L82" s="17"/>
      <c r="M82" s="17"/>
      <c r="N82" s="17">
        <f t="shared" si="5"/>
        <v>0</v>
      </c>
      <c r="O82" s="56"/>
    </row>
    <row r="83" spans="1:15" ht="15" customHeight="1" x14ac:dyDescent="0.25">
      <c r="A83" s="26" t="str">
        <f>IF(K83="","",MAX(A$2:A82)+1)</f>
        <v/>
      </c>
      <c r="B83" s="14" t="s">
        <v>18</v>
      </c>
      <c r="C83" s="21" t="s">
        <v>294</v>
      </c>
      <c r="D83" s="5"/>
      <c r="E83" s="5"/>
      <c r="F83" s="5"/>
      <c r="G83" s="5"/>
      <c r="H83" s="5"/>
      <c r="I83" s="5"/>
      <c r="J83" s="88"/>
      <c r="K83" s="88"/>
      <c r="L83" s="17"/>
      <c r="M83" s="17"/>
      <c r="N83" s="17">
        <f t="shared" si="5"/>
        <v>0</v>
      </c>
      <c r="O83" s="56"/>
    </row>
    <row r="84" spans="1:15" ht="15" customHeight="1" x14ac:dyDescent="0.25">
      <c r="A84" s="26">
        <f>IF(K84="","",MAX(A$2:A83)+1)</f>
        <v>14</v>
      </c>
      <c r="B84" s="14"/>
      <c r="C84" s="23" t="s">
        <v>70</v>
      </c>
      <c r="D84" s="5"/>
      <c r="E84" s="5"/>
      <c r="F84" s="5"/>
      <c r="G84" s="5"/>
      <c r="H84" s="5"/>
      <c r="I84" s="5"/>
      <c r="J84" s="88"/>
      <c r="K84" s="88" t="s">
        <v>39</v>
      </c>
      <c r="L84" s="17">
        <f>L34</f>
        <v>819</v>
      </c>
      <c r="M84" s="17"/>
      <c r="N84" s="17">
        <f t="shared" ref="N84" si="12">+M84*L84</f>
        <v>0</v>
      </c>
      <c r="O84" s="56"/>
    </row>
    <row r="85" spans="1:15" ht="15" customHeight="1" x14ac:dyDescent="0.25">
      <c r="A85" s="26" t="str">
        <f>IF(K85="","",MAX(A$2:A84)+1)</f>
        <v/>
      </c>
      <c r="B85" s="14"/>
      <c r="C85" s="43"/>
      <c r="D85" s="5"/>
      <c r="E85" s="5"/>
      <c r="F85" s="5"/>
      <c r="G85" s="5"/>
      <c r="H85" s="5"/>
      <c r="I85" s="5"/>
      <c r="J85" s="88"/>
      <c r="K85" s="88"/>
      <c r="L85" s="17"/>
      <c r="M85" s="17"/>
      <c r="N85" s="17"/>
      <c r="O85" s="56"/>
    </row>
    <row r="86" spans="1:15" ht="15" customHeight="1" x14ac:dyDescent="0.25">
      <c r="A86" s="26" t="str">
        <f>IF(K86="","",MAX(A$2:A85)+1)</f>
        <v/>
      </c>
      <c r="B86" s="14" t="s">
        <v>19</v>
      </c>
      <c r="C86" s="21" t="s">
        <v>103</v>
      </c>
      <c r="D86" s="6"/>
      <c r="E86" s="5"/>
      <c r="F86" s="5"/>
      <c r="G86" s="5"/>
      <c r="H86" s="5"/>
      <c r="I86" s="5"/>
      <c r="J86" s="88"/>
      <c r="K86" s="88"/>
      <c r="L86" s="51"/>
      <c r="M86" s="17"/>
      <c r="N86" s="17"/>
      <c r="O86" s="56"/>
    </row>
    <row r="87" spans="1:15" ht="15" customHeight="1" x14ac:dyDescent="0.25">
      <c r="A87" s="26" t="str">
        <f>IF(K87="","",MAX(A$2:A86)+1)</f>
        <v/>
      </c>
      <c r="B87" s="14"/>
      <c r="C87" s="76" t="s">
        <v>274</v>
      </c>
      <c r="D87" s="6"/>
      <c r="E87" s="5"/>
      <c r="F87" s="5"/>
      <c r="G87" s="5"/>
      <c r="H87" s="5"/>
      <c r="I87" s="5"/>
      <c r="J87" s="88"/>
      <c r="K87" s="88"/>
      <c r="L87" s="51"/>
      <c r="M87" s="17"/>
      <c r="N87" s="17"/>
      <c r="O87" s="56"/>
    </row>
    <row r="88" spans="1:15" ht="15" customHeight="1" collapsed="1" x14ac:dyDescent="0.25">
      <c r="A88" s="26">
        <f>IF(K88="","",MAX(A$2:A87)+1)</f>
        <v>15</v>
      </c>
      <c r="B88" s="14"/>
      <c r="C88" s="42" t="s">
        <v>269</v>
      </c>
      <c r="D88" s="6"/>
      <c r="E88" s="5"/>
      <c r="F88" s="5"/>
      <c r="G88" s="5"/>
      <c r="H88" s="5"/>
      <c r="I88" s="5"/>
      <c r="J88" s="88"/>
      <c r="K88" s="88" t="s">
        <v>42</v>
      </c>
      <c r="L88" s="51">
        <v>6300</v>
      </c>
      <c r="M88" s="17"/>
      <c r="N88" s="17">
        <f>+M88*L88</f>
        <v>0</v>
      </c>
      <c r="O88" s="56"/>
    </row>
    <row r="89" spans="1:15" s="119" customFormat="1" ht="13.15" hidden="1" customHeight="1" outlineLevel="1" x14ac:dyDescent="0.25">
      <c r="A89" s="26" t="str">
        <f>IF(K89="","",MAX(A$2:A88)+1)</f>
        <v/>
      </c>
      <c r="B89" s="205"/>
      <c r="C89" s="142" t="s">
        <v>270</v>
      </c>
      <c r="E89" s="61"/>
      <c r="F89" s="61"/>
      <c r="G89" s="61"/>
      <c r="H89" s="62" t="s">
        <v>12</v>
      </c>
      <c r="I89" s="61">
        <v>75</v>
      </c>
      <c r="J89" s="157"/>
      <c r="K89" s="150"/>
      <c r="L89" s="118"/>
      <c r="M89" s="118"/>
      <c r="N89" s="118">
        <f>+M89*L89</f>
        <v>0</v>
      </c>
    </row>
    <row r="90" spans="1:15" s="119" customFormat="1" ht="13.15" hidden="1" customHeight="1" outlineLevel="1" x14ac:dyDescent="0.25">
      <c r="A90" s="26" t="str">
        <f>IF(K90="","",MAX(A$2:A89)+1)</f>
        <v/>
      </c>
      <c r="B90" s="205"/>
      <c r="C90" s="142" t="s">
        <v>271</v>
      </c>
      <c r="E90" s="61"/>
      <c r="F90" s="61"/>
      <c r="G90" s="61"/>
      <c r="H90" s="62" t="s">
        <v>12</v>
      </c>
      <c r="I90" s="61">
        <v>45</v>
      </c>
      <c r="J90" s="157"/>
      <c r="K90" s="150"/>
      <c r="L90" s="118"/>
      <c r="M90" s="118"/>
      <c r="N90" s="118">
        <f>+M90*L90</f>
        <v>0</v>
      </c>
    </row>
    <row r="91" spans="1:15" s="119" customFormat="1" ht="13.15" hidden="1" customHeight="1" outlineLevel="1" x14ac:dyDescent="0.25">
      <c r="A91" s="26" t="str">
        <f>IF(K91="","",MAX(A$2:A90)+1)</f>
        <v/>
      </c>
      <c r="B91" s="205"/>
      <c r="C91" s="142" t="s">
        <v>272</v>
      </c>
      <c r="E91" s="61"/>
      <c r="F91" s="61"/>
      <c r="G91" s="61"/>
      <c r="H91" s="62" t="s">
        <v>12</v>
      </c>
      <c r="I91" s="61">
        <v>2</v>
      </c>
      <c r="J91" s="157"/>
      <c r="K91" s="150"/>
      <c r="L91" s="118"/>
      <c r="M91" s="118"/>
      <c r="N91" s="118"/>
    </row>
    <row r="92" spans="1:15" s="119" customFormat="1" ht="13.15" hidden="1" customHeight="1" outlineLevel="1" x14ac:dyDescent="0.25">
      <c r="A92" s="26" t="str">
        <f>IF(K92="","",MAX(A$2:A91)+1)</f>
        <v/>
      </c>
      <c r="B92" s="205"/>
      <c r="C92" s="142" t="s">
        <v>162</v>
      </c>
      <c r="E92" s="61"/>
      <c r="F92" s="61"/>
      <c r="G92" s="61"/>
      <c r="H92" s="62" t="s">
        <v>12</v>
      </c>
      <c r="I92" s="61">
        <v>5</v>
      </c>
      <c r="J92" s="157"/>
      <c r="K92" s="150"/>
      <c r="L92" s="118"/>
      <c r="M92" s="118"/>
      <c r="N92" s="118"/>
    </row>
    <row r="93" spans="1:15" s="119" customFormat="1" ht="13.15" hidden="1" customHeight="1" outlineLevel="1" x14ac:dyDescent="0.25">
      <c r="A93" s="26" t="str">
        <f>IF(K93="","",MAX(A$2:A92)+1)</f>
        <v/>
      </c>
      <c r="B93" s="205"/>
      <c r="C93" s="190"/>
      <c r="E93" s="169" t="s">
        <v>105</v>
      </c>
      <c r="F93" s="61"/>
      <c r="G93" s="61">
        <v>-7</v>
      </c>
      <c r="H93" s="62"/>
      <c r="I93" s="191" t="s">
        <v>7</v>
      </c>
      <c r="J93" s="157"/>
      <c r="K93" s="150"/>
      <c r="L93" s="118"/>
      <c r="M93" s="118"/>
      <c r="N93" s="118">
        <f>+M93*L93</f>
        <v>0</v>
      </c>
    </row>
    <row r="94" spans="1:15" s="119" customFormat="1" ht="13.15" hidden="1" customHeight="1" outlineLevel="1" x14ac:dyDescent="0.25">
      <c r="A94" s="26" t="str">
        <f>IF(K94="","",MAX(A$2:A93)+1)</f>
        <v/>
      </c>
      <c r="B94" s="205"/>
      <c r="C94" s="190"/>
      <c r="E94" s="61"/>
      <c r="F94" s="61"/>
      <c r="G94" s="61"/>
      <c r="H94" s="62"/>
      <c r="I94" s="61">
        <f>SUM(I89:I93)</f>
        <v>127</v>
      </c>
      <c r="J94" s="157"/>
      <c r="K94" s="150"/>
      <c r="L94" s="118"/>
      <c r="M94" s="118"/>
      <c r="N94" s="118"/>
      <c r="O94" s="151"/>
    </row>
    <row r="95" spans="1:15" s="119" customFormat="1" ht="13.15" hidden="1" customHeight="1" outlineLevel="1" x14ac:dyDescent="0.25">
      <c r="A95" s="26" t="str">
        <f>IF(K95="","",MAX(A$2:A94)+1)</f>
        <v/>
      </c>
      <c r="B95" s="205"/>
      <c r="C95" s="192">
        <v>1.45</v>
      </c>
      <c r="D95" s="61" t="s">
        <v>11</v>
      </c>
      <c r="E95" s="61">
        <v>11.35</v>
      </c>
      <c r="F95" s="140" t="s">
        <v>11</v>
      </c>
      <c r="G95" s="153">
        <v>3</v>
      </c>
      <c r="H95" s="62" t="s">
        <v>12</v>
      </c>
      <c r="I95" s="143">
        <f>+I94*C95*E95*G95</f>
        <v>6270.3074999999999</v>
      </c>
      <c r="J95" s="157"/>
      <c r="K95" s="150"/>
      <c r="L95" s="118"/>
      <c r="M95" s="118"/>
      <c r="N95" s="118">
        <f>+M95*L95</f>
        <v>0</v>
      </c>
      <c r="O95" s="151"/>
    </row>
    <row r="96" spans="1:15" ht="15" customHeight="1" x14ac:dyDescent="0.25">
      <c r="A96" s="26">
        <f>IF(K96="","",MAX(A$2:A95)+1)</f>
        <v>16</v>
      </c>
      <c r="B96" s="14"/>
      <c r="C96" s="24" t="s">
        <v>273</v>
      </c>
      <c r="D96" s="22"/>
      <c r="E96" s="22"/>
      <c r="F96" s="25"/>
      <c r="G96" s="22"/>
      <c r="H96" s="25"/>
      <c r="I96" s="25"/>
      <c r="J96" s="58"/>
      <c r="K96" s="88" t="s">
        <v>27</v>
      </c>
      <c r="L96" s="17">
        <v>25</v>
      </c>
      <c r="M96" s="17"/>
      <c r="N96" s="17">
        <f>+M96*L96</f>
        <v>0</v>
      </c>
      <c r="O96" s="56"/>
    </row>
    <row r="97" spans="1:15" ht="17.25" customHeight="1" x14ac:dyDescent="0.25">
      <c r="A97" s="26">
        <f>IF(K97="","",MAX(A$2:A96)+1)</f>
        <v>17</v>
      </c>
      <c r="B97" s="14"/>
      <c r="C97" s="134" t="s">
        <v>282</v>
      </c>
      <c r="D97" s="93"/>
      <c r="E97" s="93"/>
      <c r="F97" s="93"/>
      <c r="G97" s="93"/>
      <c r="H97" s="93"/>
      <c r="I97" s="93"/>
      <c r="J97" s="88"/>
      <c r="K97" s="88" t="s">
        <v>27</v>
      </c>
      <c r="L97" s="17">
        <v>50</v>
      </c>
      <c r="M97" s="17"/>
      <c r="N97" s="17">
        <f>+M97*L97</f>
        <v>0</v>
      </c>
      <c r="O97" s="56"/>
    </row>
    <row r="98" spans="1:15" ht="15" customHeight="1" collapsed="1" x14ac:dyDescent="0.25">
      <c r="A98" s="26">
        <f>IF(K98="","",MAX(A$2:A97)+1)</f>
        <v>18</v>
      </c>
      <c r="B98" s="14"/>
      <c r="C98" s="42" t="s">
        <v>275</v>
      </c>
      <c r="D98" s="22"/>
      <c r="E98" s="22"/>
      <c r="F98" s="25"/>
      <c r="G98" s="22"/>
      <c r="H98" s="25"/>
      <c r="I98" s="25"/>
      <c r="J98" s="58"/>
      <c r="K98" s="88" t="s">
        <v>42</v>
      </c>
      <c r="L98" s="51">
        <v>2000</v>
      </c>
      <c r="M98" s="17"/>
      <c r="N98" s="17">
        <f>+M98*L98</f>
        <v>0</v>
      </c>
      <c r="O98" s="56"/>
    </row>
    <row r="99" spans="1:15" s="119" customFormat="1" ht="13.15" hidden="1" customHeight="1" outlineLevel="1" x14ac:dyDescent="0.25">
      <c r="A99" s="26" t="str">
        <f>IF(K99="","",MAX(A$2:A98)+1)</f>
        <v/>
      </c>
      <c r="B99" s="205"/>
      <c r="C99" s="142" t="s">
        <v>276</v>
      </c>
      <c r="E99" s="61"/>
      <c r="F99" s="61"/>
      <c r="G99" s="61"/>
      <c r="H99" s="62" t="s">
        <v>12</v>
      </c>
      <c r="I99" s="61">
        <v>34</v>
      </c>
      <c r="J99" s="157"/>
      <c r="K99" s="150"/>
      <c r="L99" s="118"/>
      <c r="M99" s="118"/>
      <c r="N99" s="118">
        <f>+M99*L99</f>
        <v>0</v>
      </c>
    </row>
    <row r="100" spans="1:15" s="119" customFormat="1" ht="13.15" hidden="1" customHeight="1" outlineLevel="1" x14ac:dyDescent="0.25">
      <c r="A100" s="26" t="str">
        <f>IF(K100="","",MAX(A$2:A99)+1)</f>
        <v/>
      </c>
      <c r="B100" s="205"/>
      <c r="C100" s="142" t="s">
        <v>281</v>
      </c>
      <c r="E100" s="61"/>
      <c r="F100" s="61"/>
      <c r="G100" s="61"/>
      <c r="H100" s="62" t="s">
        <v>12</v>
      </c>
      <c r="I100" s="61">
        <v>1</v>
      </c>
      <c r="J100" s="157"/>
      <c r="K100" s="150"/>
      <c r="L100" s="118"/>
      <c r="M100" s="118"/>
      <c r="N100" s="118"/>
    </row>
    <row r="101" spans="1:15" s="119" customFormat="1" ht="13.15" hidden="1" customHeight="1" outlineLevel="1" x14ac:dyDescent="0.25">
      <c r="A101" s="26" t="str">
        <f>IF(K101="","",MAX(A$2:A100)+1)</f>
        <v/>
      </c>
      <c r="B101" s="205"/>
      <c r="C101" s="142" t="s">
        <v>394</v>
      </c>
      <c r="E101" s="61"/>
      <c r="F101" s="61"/>
      <c r="G101" s="61"/>
      <c r="H101" s="62" t="s">
        <v>12</v>
      </c>
      <c r="I101" s="61">
        <v>5</v>
      </c>
      <c r="J101" s="157"/>
      <c r="K101" s="150"/>
      <c r="L101" s="118"/>
      <c r="M101" s="118"/>
      <c r="N101" s="118"/>
    </row>
    <row r="102" spans="1:15" s="119" customFormat="1" ht="6" hidden="1" customHeight="1" outlineLevel="1" x14ac:dyDescent="0.25">
      <c r="A102" s="26" t="str">
        <f>IF(K102="","",MAX(A$2:A101)+1)</f>
        <v/>
      </c>
      <c r="B102" s="205"/>
      <c r="C102" s="190"/>
      <c r="E102" s="169"/>
      <c r="F102" s="61"/>
      <c r="G102" s="61"/>
      <c r="H102" s="62"/>
      <c r="I102" s="191"/>
      <c r="J102" s="157"/>
      <c r="K102" s="150"/>
      <c r="L102" s="118"/>
      <c r="M102" s="118"/>
      <c r="N102" s="118"/>
    </row>
    <row r="103" spans="1:15" s="119" customFormat="1" ht="13.15" hidden="1" customHeight="1" outlineLevel="1" x14ac:dyDescent="0.25">
      <c r="A103" s="26" t="str">
        <f>IF(K103="","",MAX(A$2:A102)+1)</f>
        <v/>
      </c>
      <c r="B103" s="205"/>
      <c r="C103" s="190"/>
      <c r="E103" s="61"/>
      <c r="F103" s="61"/>
      <c r="G103" s="61"/>
      <c r="H103" s="62"/>
      <c r="I103" s="61">
        <f>SUM(I99:I102)</f>
        <v>40</v>
      </c>
      <c r="J103" s="157"/>
      <c r="K103" s="150"/>
      <c r="L103" s="118"/>
      <c r="M103" s="118"/>
      <c r="N103" s="118"/>
      <c r="O103" s="151"/>
    </row>
    <row r="104" spans="1:15" s="119" customFormat="1" ht="13.15" hidden="1" customHeight="1" outlineLevel="1" x14ac:dyDescent="0.25">
      <c r="A104" s="26" t="str">
        <f>IF(K104="","",MAX(A$2:A103)+1)</f>
        <v/>
      </c>
      <c r="B104" s="205"/>
      <c r="C104" s="192">
        <v>1.45</v>
      </c>
      <c r="D104" s="61" t="s">
        <v>11</v>
      </c>
      <c r="E104" s="61">
        <v>11.35</v>
      </c>
      <c r="F104" s="140" t="s">
        <v>11</v>
      </c>
      <c r="G104" s="153">
        <v>3</v>
      </c>
      <c r="H104" s="62" t="s">
        <v>12</v>
      </c>
      <c r="I104" s="143">
        <f>+I103*C104*E104*G104</f>
        <v>1974.8999999999999</v>
      </c>
      <c r="J104" s="157"/>
      <c r="K104" s="150"/>
      <c r="L104" s="118"/>
      <c r="M104" s="118"/>
      <c r="N104" s="118">
        <f>+M104*L104</f>
        <v>0</v>
      </c>
      <c r="O104" s="151"/>
    </row>
    <row r="105" spans="1:15" ht="15" customHeight="1" x14ac:dyDescent="0.25">
      <c r="A105" s="26">
        <f>IF(K105="","",MAX(A$2:A104)+1)</f>
        <v>19</v>
      </c>
      <c r="B105" s="14"/>
      <c r="C105" s="24" t="s">
        <v>273</v>
      </c>
      <c r="D105" s="22"/>
      <c r="E105" s="22"/>
      <c r="F105" s="25"/>
      <c r="G105" s="22"/>
      <c r="H105" s="25"/>
      <c r="I105" s="25"/>
      <c r="J105" s="58"/>
      <c r="K105" s="88" t="s">
        <v>27</v>
      </c>
      <c r="L105" s="17">
        <v>20</v>
      </c>
      <c r="M105" s="17"/>
      <c r="N105" s="17">
        <f>+M105*L105</f>
        <v>0</v>
      </c>
      <c r="O105" s="56"/>
    </row>
    <row r="106" spans="1:15" ht="17.25" customHeight="1" x14ac:dyDescent="0.25">
      <c r="A106" s="26">
        <f>IF(K106="","",MAX(A$2:A105)+1)</f>
        <v>20</v>
      </c>
      <c r="B106" s="14"/>
      <c r="C106" s="134" t="s">
        <v>282</v>
      </c>
      <c r="D106" s="93"/>
      <c r="E106" s="93"/>
      <c r="F106" s="93"/>
      <c r="G106" s="93"/>
      <c r="H106" s="93"/>
      <c r="I106" s="93"/>
      <c r="J106" s="88"/>
      <c r="K106" s="88" t="s">
        <v>27</v>
      </c>
      <c r="L106" s="17">
        <v>20</v>
      </c>
      <c r="M106" s="17"/>
      <c r="N106" s="17">
        <f>+M106*L106</f>
        <v>0</v>
      </c>
      <c r="O106" s="56"/>
    </row>
    <row r="107" spans="1:15" ht="15" customHeight="1" x14ac:dyDescent="0.25">
      <c r="A107" s="26" t="str">
        <f>IF(K107="","",MAX(A$2:A106)+1)</f>
        <v/>
      </c>
      <c r="B107" s="14"/>
      <c r="C107" s="76" t="s">
        <v>279</v>
      </c>
      <c r="D107" s="22"/>
      <c r="E107" s="22"/>
      <c r="F107" s="25"/>
      <c r="G107" s="22"/>
      <c r="H107" s="25"/>
      <c r="I107" s="25"/>
      <c r="J107" s="58"/>
      <c r="K107" s="88"/>
      <c r="L107" s="17"/>
      <c r="M107" s="17"/>
      <c r="N107" s="17"/>
      <c r="O107" s="56"/>
    </row>
    <row r="108" spans="1:15" ht="15" customHeight="1" collapsed="1" x14ac:dyDescent="0.25">
      <c r="A108" s="26">
        <f>IF(K108="","",MAX(A$2:A107)+1)</f>
        <v>21</v>
      </c>
      <c r="B108" s="14"/>
      <c r="C108" s="42" t="s">
        <v>280</v>
      </c>
      <c r="D108" s="22"/>
      <c r="E108" s="22"/>
      <c r="F108" s="25"/>
      <c r="G108" s="22"/>
      <c r="H108" s="25"/>
      <c r="I108" s="25"/>
      <c r="J108" s="58"/>
      <c r="K108" s="88" t="s">
        <v>42</v>
      </c>
      <c r="L108" s="51">
        <v>500</v>
      </c>
      <c r="M108" s="17"/>
      <c r="N108" s="17">
        <f>+M108*L108</f>
        <v>0</v>
      </c>
      <c r="O108" s="56"/>
    </row>
    <row r="109" spans="1:15" s="119" customFormat="1" ht="13.15" hidden="1" customHeight="1" outlineLevel="1" x14ac:dyDescent="0.25">
      <c r="A109" s="26" t="str">
        <f>IF(K109="","",MAX(A$2:A108)+1)</f>
        <v/>
      </c>
      <c r="B109" s="205"/>
      <c r="C109" s="142" t="s">
        <v>277</v>
      </c>
      <c r="E109" s="61"/>
      <c r="F109" s="61"/>
      <c r="G109" s="61"/>
      <c r="H109" s="62" t="s">
        <v>12</v>
      </c>
      <c r="I109" s="61">
        <v>11</v>
      </c>
      <c r="J109" s="157"/>
      <c r="K109" s="150"/>
      <c r="L109" s="118"/>
      <c r="M109" s="118"/>
      <c r="N109" s="118">
        <f>+M109*L109</f>
        <v>0</v>
      </c>
    </row>
    <row r="110" spans="1:15" s="119" customFormat="1" ht="9" hidden="1" customHeight="1" outlineLevel="1" x14ac:dyDescent="0.25">
      <c r="A110" s="26" t="str">
        <f>IF(K110="","",MAX(A$2:A109)+1)</f>
        <v/>
      </c>
      <c r="B110" s="205"/>
      <c r="C110" s="190"/>
      <c r="E110" s="169"/>
      <c r="F110" s="61"/>
      <c r="G110" s="61"/>
      <c r="H110" s="62"/>
      <c r="I110" s="191"/>
      <c r="J110" s="157"/>
      <c r="K110" s="150"/>
      <c r="L110" s="118"/>
      <c r="M110" s="118"/>
      <c r="N110" s="118"/>
    </row>
    <row r="111" spans="1:15" s="119" customFormat="1" ht="13.15" hidden="1" customHeight="1" outlineLevel="1" x14ac:dyDescent="0.25">
      <c r="A111" s="26" t="str">
        <f>IF(K111="","",MAX(A$2:A110)+1)</f>
        <v/>
      </c>
      <c r="B111" s="205"/>
      <c r="C111" s="190"/>
      <c r="E111" s="61"/>
      <c r="F111" s="61"/>
      <c r="G111" s="61"/>
      <c r="H111" s="62"/>
      <c r="I111" s="61">
        <f>SUM(I109:I110)</f>
        <v>11</v>
      </c>
      <c r="J111" s="157"/>
      <c r="K111" s="150"/>
      <c r="L111" s="118"/>
      <c r="M111" s="118"/>
      <c r="N111" s="118"/>
      <c r="O111" s="151"/>
    </row>
    <row r="112" spans="1:15" s="119" customFormat="1" ht="13.15" hidden="1" customHeight="1" outlineLevel="1" x14ac:dyDescent="0.25">
      <c r="A112" s="26" t="str">
        <f>IF(K112="","",MAX(A$2:A111)+1)</f>
        <v/>
      </c>
      <c r="B112" s="205"/>
      <c r="C112" s="192">
        <v>1.45</v>
      </c>
      <c r="D112" s="61" t="s">
        <v>11</v>
      </c>
      <c r="E112" s="61">
        <v>11.35</v>
      </c>
      <c r="F112" s="140" t="s">
        <v>11</v>
      </c>
      <c r="G112" s="153">
        <v>3</v>
      </c>
      <c r="H112" s="62" t="s">
        <v>12</v>
      </c>
      <c r="I112" s="143">
        <f>+I111*C112*E112*G112</f>
        <v>543.09749999999997</v>
      </c>
      <c r="J112" s="157"/>
      <c r="K112" s="150"/>
      <c r="L112" s="118"/>
      <c r="M112" s="118"/>
      <c r="N112" s="118">
        <f>+M112*L112</f>
        <v>0</v>
      </c>
      <c r="O112" s="151"/>
    </row>
    <row r="113" spans="1:15" ht="17.25" customHeight="1" x14ac:dyDescent="0.25">
      <c r="A113" s="26">
        <f>IF(K113="","",MAX(A$2:A112)+1)</f>
        <v>22</v>
      </c>
      <c r="B113" s="14"/>
      <c r="C113" s="133" t="s">
        <v>282</v>
      </c>
      <c r="D113" s="93"/>
      <c r="E113" s="93"/>
      <c r="F113" s="93"/>
      <c r="G113" s="93"/>
      <c r="H113" s="93"/>
      <c r="I113" s="93"/>
      <c r="J113" s="88"/>
      <c r="K113" s="88" t="s">
        <v>27</v>
      </c>
      <c r="L113" s="17">
        <v>20</v>
      </c>
      <c r="M113" s="17"/>
      <c r="N113" s="17">
        <f>+M113*L113</f>
        <v>0</v>
      </c>
      <c r="O113" s="56"/>
    </row>
    <row r="114" spans="1:15" ht="22.9" customHeight="1" x14ac:dyDescent="0.25">
      <c r="A114" s="26" t="str">
        <f>IF(K114="","",MAX(A$2:A113)+1)</f>
        <v/>
      </c>
      <c r="B114" s="14"/>
      <c r="C114" s="21"/>
      <c r="D114" s="22"/>
      <c r="E114" s="22"/>
      <c r="F114" s="25"/>
      <c r="G114" s="22"/>
      <c r="H114" s="25"/>
      <c r="I114" s="25"/>
      <c r="J114" s="58"/>
      <c r="K114" s="88"/>
      <c r="L114" s="17"/>
      <c r="M114" s="17"/>
      <c r="N114" s="17"/>
      <c r="O114" s="56"/>
    </row>
    <row r="115" spans="1:15" ht="15" customHeight="1" x14ac:dyDescent="0.25">
      <c r="A115" s="26" t="str">
        <f>IF(K115="","",MAX(A$2:A114)+1)</f>
        <v/>
      </c>
      <c r="B115" s="14" t="s">
        <v>20</v>
      </c>
      <c r="C115" s="21" t="s">
        <v>43</v>
      </c>
      <c r="D115" s="5"/>
      <c r="E115" s="5"/>
      <c r="F115" s="5"/>
      <c r="G115" s="6"/>
      <c r="H115" s="6"/>
      <c r="I115" s="6"/>
      <c r="J115" s="91"/>
      <c r="K115" s="88"/>
      <c r="L115" s="17"/>
      <c r="M115" s="17"/>
      <c r="N115" s="17">
        <f>+M115*L115</f>
        <v>0</v>
      </c>
      <c r="O115" s="56"/>
    </row>
    <row r="116" spans="1:15" ht="23.45" customHeight="1" collapsed="1" x14ac:dyDescent="0.25">
      <c r="A116" s="26">
        <f>IF(K116="","",MAX(A$2:A115)+1)</f>
        <v>23</v>
      </c>
      <c r="B116" s="14"/>
      <c r="C116" s="231" t="s">
        <v>295</v>
      </c>
      <c r="D116" s="232"/>
      <c r="E116" s="232"/>
      <c r="F116" s="232"/>
      <c r="G116" s="232"/>
      <c r="H116" s="232"/>
      <c r="I116" s="232"/>
      <c r="J116" s="233"/>
      <c r="K116" s="88" t="s">
        <v>27</v>
      </c>
      <c r="L116" s="17">
        <f>ROUNDUP(I137,)</f>
        <v>306</v>
      </c>
      <c r="M116" s="17"/>
      <c r="N116" s="17">
        <f>+M116*L116</f>
        <v>0</v>
      </c>
      <c r="O116" s="56"/>
    </row>
    <row r="117" spans="1:15" s="119" customFormat="1" ht="13.15" hidden="1" customHeight="1" outlineLevel="1" x14ac:dyDescent="0.25">
      <c r="A117" s="26" t="str">
        <f>IF(K117="","",MAX(A$2:A116)+1)</f>
        <v/>
      </c>
      <c r="B117" s="205"/>
      <c r="C117" s="185" t="s">
        <v>247</v>
      </c>
      <c r="D117" s="149"/>
      <c r="E117" s="153"/>
      <c r="F117" s="153"/>
      <c r="G117" s="153"/>
      <c r="H117" s="154"/>
      <c r="I117" s="153">
        <f t="shared" ref="I117" si="13">+G117*E117</f>
        <v>0</v>
      </c>
      <c r="J117" s="155"/>
      <c r="K117" s="150"/>
      <c r="L117" s="118"/>
      <c r="M117" s="118"/>
      <c r="N117" s="118">
        <f t="shared" ref="N117" si="14">+M117*L117</f>
        <v>0</v>
      </c>
      <c r="O117" s="156"/>
    </row>
    <row r="118" spans="1:15" s="119" customFormat="1" ht="13.15" hidden="1" customHeight="1" outlineLevel="1" x14ac:dyDescent="0.25">
      <c r="A118" s="26" t="str">
        <f>IF(K118="","",MAX(A$2:A117)+1)</f>
        <v/>
      </c>
      <c r="B118" s="205"/>
      <c r="C118" s="24" t="s">
        <v>246</v>
      </c>
      <c r="D118" s="149"/>
      <c r="E118" s="153"/>
      <c r="F118" s="153"/>
      <c r="G118" s="153"/>
      <c r="H118" s="154" t="s">
        <v>12</v>
      </c>
      <c r="I118" s="153">
        <v>25</v>
      </c>
      <c r="J118" s="155"/>
      <c r="K118" s="150"/>
      <c r="L118" s="118"/>
      <c r="M118" s="118"/>
      <c r="N118" s="118"/>
      <c r="O118" s="156"/>
    </row>
    <row r="119" spans="1:15" s="119" customFormat="1" ht="13.15" hidden="1" customHeight="1" outlineLevel="1" x14ac:dyDescent="0.25">
      <c r="A119" s="26" t="str">
        <f>IF(K119="","",MAX(A$2:A118)+1)</f>
        <v/>
      </c>
      <c r="B119" s="205"/>
      <c r="C119" s="24" t="s">
        <v>383</v>
      </c>
      <c r="D119" s="149"/>
      <c r="E119" s="153"/>
      <c r="F119" s="153"/>
      <c r="G119" s="153"/>
      <c r="H119" s="154" t="s">
        <v>12</v>
      </c>
      <c r="I119" s="153">
        <v>7.8</v>
      </c>
      <c r="J119" s="155"/>
      <c r="K119" s="150"/>
      <c r="L119" s="118"/>
      <c r="M119" s="118"/>
      <c r="N119" s="118"/>
      <c r="O119" s="156"/>
    </row>
    <row r="120" spans="1:15" ht="13.15" hidden="1" customHeight="1" outlineLevel="1" x14ac:dyDescent="0.25">
      <c r="A120" s="26" t="str">
        <f>IF(K120="","",MAX(A$2:A119)+1)</f>
        <v/>
      </c>
      <c r="B120" s="14"/>
      <c r="C120" s="24" t="s">
        <v>250</v>
      </c>
      <c r="D120" s="48"/>
      <c r="E120" s="5"/>
      <c r="F120" s="5"/>
      <c r="G120" s="5"/>
      <c r="H120" s="5" t="s">
        <v>12</v>
      </c>
      <c r="I120" s="22">
        <v>30</v>
      </c>
      <c r="J120" s="91"/>
      <c r="K120" s="88"/>
      <c r="L120" s="17"/>
      <c r="M120" s="17"/>
      <c r="N120" s="17">
        <f t="shared" ref="N120:N137" si="15">+M120*L120</f>
        <v>0</v>
      </c>
      <c r="O120" s="56"/>
    </row>
    <row r="121" spans="1:15" ht="13.15" hidden="1" customHeight="1" outlineLevel="1" x14ac:dyDescent="0.25">
      <c r="A121" s="26" t="str">
        <f>IF(K121="","",MAX(A$2:A120)+1)</f>
        <v/>
      </c>
      <c r="B121" s="14"/>
      <c r="C121" s="24" t="s">
        <v>63</v>
      </c>
      <c r="D121" s="48"/>
      <c r="E121" s="5"/>
      <c r="F121" s="5"/>
      <c r="G121" s="5"/>
      <c r="H121" s="5" t="s">
        <v>12</v>
      </c>
      <c r="I121" s="22">
        <f>0.8*8+0.7</f>
        <v>7.1000000000000005</v>
      </c>
      <c r="J121" s="91"/>
      <c r="K121" s="88"/>
      <c r="L121" s="17"/>
      <c r="M121" s="17"/>
      <c r="N121" s="17"/>
      <c r="O121" s="56"/>
    </row>
    <row r="122" spans="1:15" ht="13.15" hidden="1" customHeight="1" outlineLevel="1" x14ac:dyDescent="0.25">
      <c r="A122" s="26" t="str">
        <f>IF(K122="","",MAX(A$2:A121)+1)</f>
        <v/>
      </c>
      <c r="B122" s="14"/>
      <c r="C122" s="24" t="s">
        <v>249</v>
      </c>
      <c r="D122" s="48"/>
      <c r="E122" s="5"/>
      <c r="F122" s="5"/>
      <c r="G122" s="41"/>
      <c r="H122" s="125" t="s">
        <v>12</v>
      </c>
      <c r="I122" s="41">
        <v>8</v>
      </c>
      <c r="J122" s="91"/>
      <c r="K122" s="88"/>
      <c r="L122" s="17"/>
      <c r="M122" s="17"/>
      <c r="N122" s="17">
        <f t="shared" si="15"/>
        <v>0</v>
      </c>
      <c r="O122" s="56"/>
    </row>
    <row r="123" spans="1:15" s="119" customFormat="1" ht="13.15" hidden="1" customHeight="1" outlineLevel="1" x14ac:dyDescent="0.25">
      <c r="A123" s="26" t="str">
        <f>IF(K123="","",MAX(A$2:A122)+1)</f>
        <v/>
      </c>
      <c r="B123" s="205"/>
      <c r="C123" s="185" t="s">
        <v>176</v>
      </c>
      <c r="D123" s="149"/>
      <c r="E123" s="153"/>
      <c r="F123" s="153"/>
      <c r="G123" s="153"/>
      <c r="H123" s="154"/>
      <c r="I123" s="153"/>
      <c r="J123" s="155"/>
      <c r="K123" s="150"/>
      <c r="L123" s="118"/>
      <c r="M123" s="118"/>
      <c r="N123" s="118">
        <f t="shared" si="15"/>
        <v>0</v>
      </c>
      <c r="O123" s="156"/>
    </row>
    <row r="124" spans="1:15" s="119" customFormat="1" ht="13.15" hidden="1" customHeight="1" outlineLevel="1" x14ac:dyDescent="0.25">
      <c r="A124" s="26" t="str">
        <f>IF(K124="","",MAX(A$2:A123)+1)</f>
        <v/>
      </c>
      <c r="B124" s="205"/>
      <c r="C124" s="24" t="s">
        <v>246</v>
      </c>
      <c r="D124" s="149"/>
      <c r="E124" s="153"/>
      <c r="F124" s="153"/>
      <c r="G124" s="153"/>
      <c r="H124" s="154" t="s">
        <v>12</v>
      </c>
      <c r="I124" s="153">
        <v>55</v>
      </c>
      <c r="J124" s="155"/>
      <c r="K124" s="150"/>
      <c r="L124" s="118"/>
      <c r="M124" s="118"/>
      <c r="N124" s="118"/>
      <c r="O124" s="156"/>
    </row>
    <row r="125" spans="1:15" ht="13.15" hidden="1" customHeight="1" outlineLevel="1" x14ac:dyDescent="0.25">
      <c r="A125" s="26" t="str">
        <f>IF(K125="","",MAX(A$2:A124)+1)</f>
        <v/>
      </c>
      <c r="B125" s="14"/>
      <c r="C125" s="24" t="s">
        <v>250</v>
      </c>
      <c r="D125" s="48"/>
      <c r="E125" s="5"/>
      <c r="F125" s="5"/>
      <c r="G125" s="5"/>
      <c r="H125" s="5" t="s">
        <v>12</v>
      </c>
      <c r="I125" s="22">
        <v>58</v>
      </c>
      <c r="J125" s="91"/>
      <c r="K125" s="88"/>
      <c r="L125" s="17"/>
      <c r="M125" s="17"/>
      <c r="N125" s="17">
        <f t="shared" ref="N125" si="16">+M125*L125</f>
        <v>0</v>
      </c>
      <c r="O125" s="56"/>
    </row>
    <row r="126" spans="1:15" ht="13.15" hidden="1" customHeight="1" outlineLevel="1" x14ac:dyDescent="0.25">
      <c r="A126" s="26" t="str">
        <f>IF(K126="","",MAX(A$2:A125)+1)</f>
        <v/>
      </c>
      <c r="B126" s="14"/>
      <c r="C126" s="24" t="s">
        <v>63</v>
      </c>
      <c r="D126" s="48"/>
      <c r="E126" s="5"/>
      <c r="F126" s="5"/>
      <c r="G126" s="5"/>
      <c r="H126" s="5" t="s">
        <v>12</v>
      </c>
      <c r="I126" s="22">
        <f>1.5*7+2.22*4</f>
        <v>19.380000000000003</v>
      </c>
      <c r="J126" s="91"/>
      <c r="K126" s="88"/>
      <c r="L126" s="17"/>
      <c r="M126" s="17"/>
      <c r="N126" s="17"/>
      <c r="O126" s="56"/>
    </row>
    <row r="127" spans="1:15" ht="13.15" hidden="1" customHeight="1" outlineLevel="1" x14ac:dyDescent="0.25">
      <c r="A127" s="26" t="str">
        <f>IF(K127="","",MAX(A$2:A126)+1)</f>
        <v/>
      </c>
      <c r="B127" s="14"/>
      <c r="C127" s="24" t="s">
        <v>249</v>
      </c>
      <c r="D127" s="48"/>
      <c r="E127" s="5"/>
      <c r="F127" s="5"/>
      <c r="G127" s="41"/>
      <c r="H127" s="125" t="s">
        <v>12</v>
      </c>
      <c r="I127" s="41">
        <v>3.5</v>
      </c>
      <c r="J127" s="91"/>
      <c r="K127" s="88"/>
      <c r="L127" s="17"/>
      <c r="M127" s="17"/>
      <c r="N127" s="17">
        <f t="shared" ref="N127" si="17">+M127*L127</f>
        <v>0</v>
      </c>
      <c r="O127" s="56"/>
    </row>
    <row r="128" spans="1:15" s="119" customFormat="1" ht="13.15" hidden="1" customHeight="1" outlineLevel="1" x14ac:dyDescent="0.25">
      <c r="A128" s="26" t="str">
        <f>IF(K128="","",MAX(A$2:A127)+1)</f>
        <v/>
      </c>
      <c r="B128" s="205"/>
      <c r="C128" s="185" t="s">
        <v>241</v>
      </c>
      <c r="D128" s="149"/>
      <c r="E128" s="153"/>
      <c r="F128" s="153"/>
      <c r="G128" s="153"/>
      <c r="H128" s="154"/>
      <c r="I128" s="153">
        <f t="shared" ref="I128:I132" si="18">+G128*E128</f>
        <v>0</v>
      </c>
      <c r="J128" s="155"/>
      <c r="K128" s="150"/>
      <c r="L128" s="118"/>
      <c r="M128" s="118"/>
      <c r="N128" s="118">
        <f t="shared" si="15"/>
        <v>0</v>
      </c>
      <c r="O128" s="156"/>
    </row>
    <row r="129" spans="1:15" s="119" customFormat="1" ht="13.15" hidden="1" customHeight="1" outlineLevel="1" x14ac:dyDescent="0.25">
      <c r="A129" s="26" t="str">
        <f>IF(K129="","",MAX(A$2:A128)+1)</f>
        <v/>
      </c>
      <c r="B129" s="205"/>
      <c r="C129" s="24" t="s">
        <v>246</v>
      </c>
      <c r="D129" s="149"/>
      <c r="E129" s="153"/>
      <c r="F129" s="153"/>
      <c r="G129" s="153"/>
      <c r="H129" s="154" t="s">
        <v>12</v>
      </c>
      <c r="I129" s="153">
        <v>22</v>
      </c>
      <c r="J129" s="155"/>
      <c r="K129" s="150"/>
      <c r="L129" s="118"/>
      <c r="M129" s="118"/>
      <c r="N129" s="118"/>
      <c r="O129" s="156"/>
    </row>
    <row r="130" spans="1:15" ht="13.15" hidden="1" customHeight="1" outlineLevel="1" x14ac:dyDescent="0.25">
      <c r="A130" s="26" t="str">
        <f>IF(K130="","",MAX(A$2:A129)+1)</f>
        <v/>
      </c>
      <c r="B130" s="14"/>
      <c r="C130" s="24" t="s">
        <v>248</v>
      </c>
      <c r="D130" s="5"/>
      <c r="E130" s="46"/>
      <c r="F130" s="41"/>
      <c r="G130" s="41"/>
      <c r="H130" s="103" t="s">
        <v>12</v>
      </c>
      <c r="I130" s="41">
        <v>10</v>
      </c>
      <c r="J130" s="155"/>
      <c r="K130" s="88"/>
      <c r="L130" s="17"/>
      <c r="M130" s="17"/>
      <c r="N130" s="17">
        <f t="shared" si="15"/>
        <v>0</v>
      </c>
      <c r="O130" s="104"/>
    </row>
    <row r="131" spans="1:15" ht="13.15" hidden="1" customHeight="1" outlineLevel="1" x14ac:dyDescent="0.25">
      <c r="A131" s="26" t="str">
        <f>IF(K131="","",MAX(A$2:A130)+1)</f>
        <v/>
      </c>
      <c r="B131" s="14"/>
      <c r="C131" s="24" t="s">
        <v>134</v>
      </c>
      <c r="D131" s="5"/>
      <c r="E131" s="46"/>
      <c r="F131" s="41"/>
      <c r="G131" s="41"/>
      <c r="H131" s="103" t="s">
        <v>12</v>
      </c>
      <c r="I131" s="41">
        <f>1.2*2</f>
        <v>2.4</v>
      </c>
      <c r="J131" s="155"/>
      <c r="K131" s="88"/>
      <c r="L131" s="17"/>
      <c r="M131" s="17"/>
      <c r="N131" s="17">
        <f t="shared" si="15"/>
        <v>0</v>
      </c>
      <c r="O131" s="104"/>
    </row>
    <row r="132" spans="1:15" s="119" customFormat="1" ht="13.15" hidden="1" customHeight="1" outlineLevel="1" x14ac:dyDescent="0.25">
      <c r="A132" s="26" t="str">
        <f>IF(K132="","",MAX(A$2:A131)+1)</f>
        <v/>
      </c>
      <c r="B132" s="205"/>
      <c r="C132" s="185" t="s">
        <v>177</v>
      </c>
      <c r="D132" s="149"/>
      <c r="E132" s="153"/>
      <c r="F132" s="153"/>
      <c r="G132" s="153"/>
      <c r="H132" s="154"/>
      <c r="I132" s="153">
        <f t="shared" si="18"/>
        <v>0</v>
      </c>
      <c r="J132" s="155"/>
      <c r="K132" s="150"/>
      <c r="L132" s="118"/>
      <c r="M132" s="118"/>
      <c r="N132" s="118">
        <f t="shared" si="15"/>
        <v>0</v>
      </c>
      <c r="O132" s="156"/>
    </row>
    <row r="133" spans="1:15" ht="13.15" hidden="1" customHeight="1" outlineLevel="1" x14ac:dyDescent="0.25">
      <c r="A133" s="26" t="str">
        <f>IF(K133="","",MAX(A$2:A132)+1)</f>
        <v/>
      </c>
      <c r="B133" s="14"/>
      <c r="C133" s="24" t="s">
        <v>147</v>
      </c>
      <c r="D133" s="5"/>
      <c r="E133" s="46"/>
      <c r="F133" s="41"/>
      <c r="G133" s="41"/>
      <c r="H133" s="103" t="s">
        <v>12</v>
      </c>
      <c r="I133" s="41">
        <v>31</v>
      </c>
      <c r="J133" s="91"/>
      <c r="K133" s="88"/>
      <c r="L133" s="17"/>
      <c r="M133" s="17"/>
      <c r="N133" s="17">
        <f t="shared" si="15"/>
        <v>0</v>
      </c>
      <c r="O133" s="104"/>
    </row>
    <row r="134" spans="1:15" ht="13.15" hidden="1" customHeight="1" outlineLevel="1" x14ac:dyDescent="0.25">
      <c r="A134" s="26" t="str">
        <f>IF(K134="","",MAX(A$2:A133)+1)</f>
        <v/>
      </c>
      <c r="B134" s="14"/>
      <c r="C134" s="24" t="s">
        <v>148</v>
      </c>
      <c r="D134" s="5"/>
      <c r="E134" s="46"/>
      <c r="F134" s="41"/>
      <c r="G134" s="41"/>
      <c r="H134" s="103" t="s">
        <v>12</v>
      </c>
      <c r="I134" s="41">
        <v>18</v>
      </c>
      <c r="J134" s="91"/>
      <c r="K134" s="88"/>
      <c r="L134" s="17"/>
      <c r="M134" s="17"/>
      <c r="N134" s="17">
        <f t="shared" si="15"/>
        <v>0</v>
      </c>
      <c r="O134" s="104"/>
    </row>
    <row r="135" spans="1:15" ht="13.15" hidden="1" customHeight="1" outlineLevel="1" x14ac:dyDescent="0.25">
      <c r="A135" s="26" t="str">
        <f>IF(K135="","",MAX(A$2:A134)+1)</f>
        <v/>
      </c>
      <c r="B135" s="14"/>
      <c r="C135" s="24" t="s">
        <v>129</v>
      </c>
      <c r="D135" s="5"/>
      <c r="E135" s="46"/>
      <c r="F135" s="41"/>
      <c r="G135" s="41"/>
      <c r="H135" s="103" t="s">
        <v>12</v>
      </c>
      <c r="I135" s="41">
        <v>8</v>
      </c>
      <c r="J135" s="91"/>
      <c r="K135" s="88"/>
      <c r="L135" s="17"/>
      <c r="M135" s="17"/>
      <c r="N135" s="17">
        <f t="shared" si="15"/>
        <v>0</v>
      </c>
      <c r="O135" s="104"/>
    </row>
    <row r="136" spans="1:15" ht="5.45" hidden="1" customHeight="1" outlineLevel="1" x14ac:dyDescent="0.25">
      <c r="A136" s="26" t="str">
        <f>IF(K136="","",MAX(A$2:A135)+1)</f>
        <v/>
      </c>
      <c r="B136" s="14"/>
      <c r="C136" s="24"/>
      <c r="D136" s="5"/>
      <c r="E136" s="46"/>
      <c r="F136" s="41"/>
      <c r="G136" s="41"/>
      <c r="H136" s="103"/>
      <c r="I136" s="41"/>
      <c r="J136" s="91"/>
      <c r="K136" s="88"/>
      <c r="L136" s="17"/>
      <c r="M136" s="17"/>
      <c r="N136" s="17"/>
      <c r="O136" s="104"/>
    </row>
    <row r="137" spans="1:15" ht="13.15" hidden="1" customHeight="1" outlineLevel="1" x14ac:dyDescent="0.25">
      <c r="A137" s="26" t="str">
        <f>IF(K137="","",MAX(A$2:A136)+1)</f>
        <v/>
      </c>
      <c r="B137" s="14"/>
      <c r="C137" s="42"/>
      <c r="D137" s="5"/>
      <c r="E137" s="46"/>
      <c r="F137" s="41"/>
      <c r="G137" s="41"/>
      <c r="H137" s="103"/>
      <c r="I137" s="132">
        <f>SUM(I118:I135)</f>
        <v>305.17999999999995</v>
      </c>
      <c r="J137" s="91"/>
      <c r="K137" s="88"/>
      <c r="L137" s="17"/>
      <c r="M137" s="17"/>
      <c r="N137" s="17">
        <f t="shared" si="15"/>
        <v>0</v>
      </c>
      <c r="O137" s="104"/>
    </row>
    <row r="138" spans="1:15" ht="15" customHeight="1" x14ac:dyDescent="0.25">
      <c r="A138" s="26" t="str">
        <f>IF(K138="","",MAX(A$2:A137)+1)</f>
        <v/>
      </c>
      <c r="B138" s="14"/>
      <c r="C138" s="44"/>
      <c r="D138" s="48"/>
      <c r="E138" s="5"/>
      <c r="F138" s="5"/>
      <c r="G138" s="5"/>
      <c r="H138" s="5"/>
      <c r="I138" s="5"/>
      <c r="J138" s="58"/>
      <c r="K138" s="88"/>
      <c r="L138" s="17"/>
      <c r="M138" s="17"/>
      <c r="N138" s="17"/>
      <c r="O138" s="56"/>
    </row>
    <row r="139" spans="1:15" ht="15" customHeight="1" x14ac:dyDescent="0.25">
      <c r="A139" s="26" t="str">
        <f>IF(K139="","",MAX(A$2:A138)+1)</f>
        <v/>
      </c>
      <c r="B139" s="14" t="s">
        <v>21</v>
      </c>
      <c r="C139" s="21" t="s">
        <v>296</v>
      </c>
      <c r="D139" s="5"/>
      <c r="E139" s="5"/>
      <c r="F139" s="5"/>
      <c r="G139" s="5"/>
      <c r="H139" s="5"/>
      <c r="I139" s="5"/>
      <c r="J139" s="88"/>
      <c r="K139" s="88"/>
      <c r="L139" s="17"/>
      <c r="M139" s="17"/>
      <c r="N139" s="17">
        <f>+M139*L139</f>
        <v>0</v>
      </c>
      <c r="O139" s="56"/>
    </row>
    <row r="140" spans="1:15" ht="15" customHeight="1" collapsed="1" x14ac:dyDescent="0.25">
      <c r="A140" s="26">
        <f>IF(K140="","",MAX(A$2:A139)+1)</f>
        <v>24</v>
      </c>
      <c r="B140" s="14"/>
      <c r="C140" s="43" t="s">
        <v>131</v>
      </c>
      <c r="D140" s="93"/>
      <c r="E140" s="93"/>
      <c r="F140" s="93"/>
      <c r="G140" s="93"/>
      <c r="H140" s="93"/>
      <c r="I140" s="93"/>
      <c r="J140" s="83"/>
      <c r="K140" s="88" t="s">
        <v>27</v>
      </c>
      <c r="L140" s="17">
        <f>+I146</f>
        <v>99</v>
      </c>
      <c r="M140" s="17"/>
      <c r="N140" s="17">
        <f>+M140*L140</f>
        <v>0</v>
      </c>
      <c r="O140" s="56"/>
    </row>
    <row r="141" spans="1:15" s="119" customFormat="1" ht="13.15" hidden="1" customHeight="1" outlineLevel="1" x14ac:dyDescent="0.25">
      <c r="A141" s="26" t="str">
        <f>IF(K141="","",MAX(A$2:A140)+1)</f>
        <v/>
      </c>
      <c r="B141" s="205"/>
      <c r="C141" s="152" t="s">
        <v>247</v>
      </c>
      <c r="D141" s="149"/>
      <c r="E141" s="153"/>
      <c r="F141" s="153"/>
      <c r="G141" s="153"/>
      <c r="H141" s="154" t="s">
        <v>12</v>
      </c>
      <c r="I141" s="153">
        <v>23</v>
      </c>
      <c r="J141" s="155"/>
      <c r="K141" s="150"/>
      <c r="L141" s="118"/>
      <c r="M141" s="118"/>
      <c r="N141" s="118">
        <f t="shared" ref="N141" si="19">+M141*L141</f>
        <v>0</v>
      </c>
      <c r="O141" s="156"/>
    </row>
    <row r="142" spans="1:15" s="119" customFormat="1" ht="13.15" hidden="1" customHeight="1" outlineLevel="1" x14ac:dyDescent="0.25">
      <c r="A142" s="26" t="str">
        <f>IF(K142="","",MAX(A$2:A141)+1)</f>
        <v/>
      </c>
      <c r="B142" s="205"/>
      <c r="C142" s="152" t="s">
        <v>176</v>
      </c>
      <c r="D142" s="149"/>
      <c r="E142" s="153"/>
      <c r="F142" s="153"/>
      <c r="G142" s="153"/>
      <c r="H142" s="154" t="s">
        <v>12</v>
      </c>
      <c r="I142" s="153">
        <v>56</v>
      </c>
      <c r="J142" s="155"/>
      <c r="K142" s="150"/>
      <c r="L142" s="118"/>
      <c r="M142" s="118"/>
      <c r="N142" s="118">
        <f t="shared" ref="N142" si="20">+M142*L142</f>
        <v>0</v>
      </c>
      <c r="O142" s="156"/>
    </row>
    <row r="143" spans="1:15" s="119" customFormat="1" ht="13.15" hidden="1" customHeight="1" outlineLevel="1" x14ac:dyDescent="0.25">
      <c r="A143" s="26" t="str">
        <f>IF(K143="","",MAX(A$2:A142)+1)</f>
        <v/>
      </c>
      <c r="B143" s="205"/>
      <c r="C143" s="152" t="s">
        <v>241</v>
      </c>
      <c r="D143" s="149"/>
      <c r="E143" s="153"/>
      <c r="F143" s="153"/>
      <c r="G143" s="153"/>
      <c r="H143" s="154" t="s">
        <v>12</v>
      </c>
      <c r="I143" s="153">
        <v>20</v>
      </c>
      <c r="J143" s="155"/>
      <c r="K143" s="150"/>
      <c r="L143" s="118"/>
      <c r="M143" s="118"/>
      <c r="N143" s="118">
        <f t="shared" ref="N143" si="21">+M143*L143</f>
        <v>0</v>
      </c>
      <c r="O143" s="156"/>
    </row>
    <row r="144" spans="1:15" s="119" customFormat="1" ht="13.15" hidden="1" customHeight="1" outlineLevel="1" x14ac:dyDescent="0.25">
      <c r="A144" s="26" t="str">
        <f>IF(K144="","",MAX(A$2:A143)+1)</f>
        <v/>
      </c>
      <c r="B144" s="205"/>
      <c r="C144" s="152" t="s">
        <v>177</v>
      </c>
      <c r="D144" s="149"/>
      <c r="E144" s="153"/>
      <c r="F144" s="153"/>
      <c r="G144" s="153"/>
      <c r="H144" s="154" t="s">
        <v>12</v>
      </c>
      <c r="I144" s="153" t="s">
        <v>172</v>
      </c>
      <c r="J144" s="155"/>
      <c r="K144" s="150"/>
      <c r="L144" s="118"/>
      <c r="M144" s="118"/>
      <c r="N144" s="118">
        <f t="shared" ref="N144" si="22">+M144*L144</f>
        <v>0</v>
      </c>
      <c r="O144" s="156"/>
    </row>
    <row r="145" spans="1:15" ht="6" hidden="1" customHeight="1" outlineLevel="1" x14ac:dyDescent="0.25">
      <c r="A145" s="26" t="str">
        <f>IF(K145="","",MAX(A$2:A144)+1)</f>
        <v/>
      </c>
      <c r="B145" s="14"/>
      <c r="C145" s="24"/>
      <c r="D145" s="5"/>
      <c r="E145" s="46"/>
      <c r="F145" s="41"/>
      <c r="G145" s="41"/>
      <c r="H145" s="103"/>
      <c r="I145" s="41"/>
      <c r="J145" s="91"/>
      <c r="K145" s="88"/>
      <c r="L145" s="17"/>
      <c r="M145" s="17"/>
      <c r="N145" s="17"/>
      <c r="O145" s="104"/>
    </row>
    <row r="146" spans="1:15" ht="13.15" hidden="1" customHeight="1" outlineLevel="1" x14ac:dyDescent="0.25">
      <c r="A146" s="26" t="str">
        <f>IF(K146="","",MAX(A$2:A145)+1)</f>
        <v/>
      </c>
      <c r="B146" s="14"/>
      <c r="C146" s="42"/>
      <c r="D146" s="5"/>
      <c r="E146" s="46"/>
      <c r="F146" s="41"/>
      <c r="G146" s="41"/>
      <c r="H146" s="103"/>
      <c r="I146" s="132">
        <f>SUM(I141:I144)</f>
        <v>99</v>
      </c>
      <c r="J146" s="91"/>
      <c r="K146" s="88"/>
      <c r="L146" s="17"/>
      <c r="M146" s="17"/>
      <c r="N146" s="17">
        <f t="shared" ref="N146" si="23">+M146*L146</f>
        <v>0</v>
      </c>
      <c r="O146" s="104"/>
    </row>
    <row r="147" spans="1:15" ht="15" customHeight="1" x14ac:dyDescent="0.25">
      <c r="A147" s="26">
        <f>IF(K147="","",MAX(A$2:A146)+1)</f>
        <v>25</v>
      </c>
      <c r="B147" s="14"/>
      <c r="C147" s="43" t="s">
        <v>132</v>
      </c>
      <c r="D147" s="93"/>
      <c r="E147" s="93"/>
      <c r="F147" s="93"/>
      <c r="G147" s="93"/>
      <c r="H147" s="93"/>
      <c r="I147" s="93"/>
      <c r="J147" s="88"/>
      <c r="K147" s="88" t="s">
        <v>27</v>
      </c>
      <c r="L147" s="17">
        <f>+L140</f>
        <v>99</v>
      </c>
      <c r="M147" s="17"/>
      <c r="N147" s="17">
        <f>+M147*L147</f>
        <v>0</v>
      </c>
      <c r="O147" s="56"/>
    </row>
    <row r="148" spans="1:15" ht="15" customHeight="1" x14ac:dyDescent="0.25">
      <c r="A148" s="26">
        <f>IF(K148="","",MAX(A$2:A147)+1)</f>
        <v>26</v>
      </c>
      <c r="B148" s="14" t="s">
        <v>23</v>
      </c>
      <c r="C148" s="105" t="s">
        <v>133</v>
      </c>
      <c r="D148" s="93"/>
      <c r="E148" s="93"/>
      <c r="F148" s="93"/>
      <c r="G148" s="93"/>
      <c r="H148" s="93"/>
      <c r="I148" s="93"/>
      <c r="J148" s="88"/>
      <c r="K148" s="88" t="s">
        <v>60</v>
      </c>
      <c r="L148" s="54">
        <f>+L140</f>
        <v>99</v>
      </c>
      <c r="M148" s="17"/>
      <c r="N148" s="17">
        <f t="shared" ref="N148:N160" si="24">+M148*L148</f>
        <v>0</v>
      </c>
      <c r="O148" s="56"/>
    </row>
    <row r="149" spans="1:15" ht="15" customHeight="1" x14ac:dyDescent="0.25">
      <c r="A149" s="26" t="str">
        <f>IF(K149="","",MAX(A$2:A148)+1)</f>
        <v/>
      </c>
      <c r="B149" s="14"/>
      <c r="C149" s="21"/>
      <c r="D149" s="5"/>
      <c r="E149" s="5"/>
      <c r="F149" s="5"/>
      <c r="G149" s="5"/>
      <c r="H149" s="5"/>
      <c r="I149" s="5"/>
      <c r="J149" s="88"/>
      <c r="K149" s="88"/>
      <c r="L149" s="17"/>
      <c r="M149" s="17"/>
      <c r="N149" s="17">
        <f t="shared" si="24"/>
        <v>0</v>
      </c>
      <c r="O149" s="56"/>
    </row>
    <row r="150" spans="1:15" ht="15" customHeight="1" x14ac:dyDescent="0.25">
      <c r="A150" s="26" t="str">
        <f>IF(K150="","",MAX(A$2:A149)+1)</f>
        <v/>
      </c>
      <c r="B150" s="14" t="s">
        <v>22</v>
      </c>
      <c r="C150" s="21" t="s">
        <v>390</v>
      </c>
      <c r="D150" s="5"/>
      <c r="E150" s="5"/>
      <c r="F150" s="5"/>
      <c r="G150" s="5"/>
      <c r="H150" s="5"/>
      <c r="I150" s="5"/>
      <c r="J150" s="88"/>
      <c r="K150" s="88"/>
      <c r="L150" s="17"/>
      <c r="M150" s="17"/>
      <c r="N150" s="17">
        <f t="shared" si="24"/>
        <v>0</v>
      </c>
      <c r="O150" s="56"/>
    </row>
    <row r="151" spans="1:15" ht="15" customHeight="1" x14ac:dyDescent="0.25">
      <c r="A151" s="26">
        <f>IF(K151="","",MAX(A$2:A150)+1)</f>
        <v>27</v>
      </c>
      <c r="B151" s="14"/>
      <c r="C151" s="23" t="s">
        <v>391</v>
      </c>
      <c r="D151" s="5"/>
      <c r="E151" s="5"/>
      <c r="F151" s="5"/>
      <c r="G151" s="5"/>
      <c r="H151" s="5"/>
      <c r="I151" s="5"/>
      <c r="J151" s="88"/>
      <c r="K151" s="88" t="s">
        <v>27</v>
      </c>
      <c r="L151" s="17">
        <v>30</v>
      </c>
      <c r="M151" s="17"/>
      <c r="N151" s="17">
        <f t="shared" si="24"/>
        <v>0</v>
      </c>
      <c r="O151" s="56"/>
    </row>
    <row r="152" spans="1:15" ht="15" customHeight="1" x14ac:dyDescent="0.25">
      <c r="A152" s="26" t="str">
        <f>IF(K152="","",MAX(A$2:A151)+1)</f>
        <v/>
      </c>
      <c r="B152" s="14"/>
      <c r="C152" s="21"/>
      <c r="D152" s="5"/>
      <c r="E152" s="5"/>
      <c r="F152" s="5"/>
      <c r="G152" s="5"/>
      <c r="H152" s="5"/>
      <c r="I152" s="5"/>
      <c r="J152" s="88"/>
      <c r="K152" s="88"/>
      <c r="L152" s="17"/>
      <c r="M152" s="17"/>
      <c r="N152" s="17">
        <f t="shared" si="24"/>
        <v>0</v>
      </c>
      <c r="O152" s="56"/>
    </row>
    <row r="153" spans="1:15" ht="15" customHeight="1" x14ac:dyDescent="0.25">
      <c r="A153" s="26" t="str">
        <f>IF(K153="","",MAX(A$2:A152)+1)</f>
        <v/>
      </c>
      <c r="B153" s="14" t="s">
        <v>375</v>
      </c>
      <c r="C153" s="21" t="s">
        <v>45</v>
      </c>
      <c r="D153" s="5"/>
      <c r="E153" s="5"/>
      <c r="F153" s="5"/>
      <c r="G153" s="5"/>
      <c r="H153" s="5"/>
      <c r="I153" s="5"/>
      <c r="J153" s="58"/>
      <c r="K153" s="88"/>
      <c r="L153" s="17"/>
      <c r="M153" s="17"/>
      <c r="N153" s="17">
        <f t="shared" si="24"/>
        <v>0</v>
      </c>
      <c r="O153" s="56"/>
    </row>
    <row r="154" spans="1:15" ht="22.9" customHeight="1" collapsed="1" x14ac:dyDescent="0.25">
      <c r="A154" s="26">
        <f>IF(K154="","",MAX(A$2:A153)+1)</f>
        <v>28</v>
      </c>
      <c r="B154" s="14"/>
      <c r="C154" s="231" t="s">
        <v>297</v>
      </c>
      <c r="D154" s="232"/>
      <c r="E154" s="232"/>
      <c r="F154" s="232"/>
      <c r="G154" s="232"/>
      <c r="H154" s="232"/>
      <c r="I154" s="232"/>
      <c r="J154" s="233"/>
      <c r="K154" s="88" t="s">
        <v>27</v>
      </c>
      <c r="L154" s="17">
        <f>ROUNDUP(I160,)</f>
        <v>60</v>
      </c>
      <c r="M154" s="17"/>
      <c r="N154" s="17">
        <f t="shared" si="24"/>
        <v>0</v>
      </c>
      <c r="O154" s="56"/>
    </row>
    <row r="155" spans="1:15" s="119" customFormat="1" ht="13.15" hidden="1" customHeight="1" outlineLevel="1" x14ac:dyDescent="0.25">
      <c r="A155" s="26" t="str">
        <f>IF(K155="","",MAX(A$2:A154)+1)</f>
        <v/>
      </c>
      <c r="B155" s="205"/>
      <c r="C155" s="152" t="s">
        <v>247</v>
      </c>
      <c r="D155" s="149"/>
      <c r="E155" s="153"/>
      <c r="F155" s="153"/>
      <c r="G155" s="153"/>
      <c r="H155" s="154" t="s">
        <v>12</v>
      </c>
      <c r="I155" s="153">
        <v>15</v>
      </c>
      <c r="J155" s="155"/>
      <c r="K155" s="150"/>
      <c r="L155" s="118"/>
      <c r="M155" s="118"/>
      <c r="N155" s="17">
        <f t="shared" si="24"/>
        <v>0</v>
      </c>
      <c r="O155" s="156"/>
    </row>
    <row r="156" spans="1:15" s="119" customFormat="1" ht="13.15" hidden="1" customHeight="1" outlineLevel="1" x14ac:dyDescent="0.25">
      <c r="A156" s="26" t="str">
        <f>IF(K156="","",MAX(A$2:A155)+1)</f>
        <v/>
      </c>
      <c r="B156" s="205"/>
      <c r="C156" s="152" t="s">
        <v>176</v>
      </c>
      <c r="D156" s="149"/>
      <c r="E156" s="153"/>
      <c r="F156" s="153"/>
      <c r="G156" s="153"/>
      <c r="H156" s="154" t="s">
        <v>12</v>
      </c>
      <c r="I156" s="153">
        <v>36</v>
      </c>
      <c r="J156" s="155"/>
      <c r="K156" s="150"/>
      <c r="L156" s="118"/>
      <c r="M156" s="118"/>
      <c r="N156" s="17">
        <f t="shared" si="24"/>
        <v>0</v>
      </c>
      <c r="O156" s="156"/>
    </row>
    <row r="157" spans="1:15" s="119" customFormat="1" ht="13.15" hidden="1" customHeight="1" outlineLevel="1" x14ac:dyDescent="0.25">
      <c r="A157" s="26" t="str">
        <f>IF(K157="","",MAX(A$2:A156)+1)</f>
        <v/>
      </c>
      <c r="B157" s="205"/>
      <c r="C157" s="152" t="s">
        <v>303</v>
      </c>
      <c r="D157" s="149"/>
      <c r="E157" s="153"/>
      <c r="F157" s="153"/>
      <c r="G157" s="153"/>
      <c r="H157" s="154" t="s">
        <v>12</v>
      </c>
      <c r="I157" s="153">
        <f>6.5+2.5</f>
        <v>9</v>
      </c>
      <c r="J157" s="155"/>
      <c r="K157" s="150"/>
      <c r="L157" s="118"/>
      <c r="M157" s="118"/>
      <c r="N157" s="17">
        <f t="shared" si="24"/>
        <v>0</v>
      </c>
      <c r="O157" s="156"/>
    </row>
    <row r="158" spans="1:15" s="119" customFormat="1" ht="13.15" hidden="1" customHeight="1" outlineLevel="1" x14ac:dyDescent="0.25">
      <c r="A158" s="26" t="str">
        <f>IF(K158="","",MAX(A$2:A157)+1)</f>
        <v/>
      </c>
      <c r="B158" s="205"/>
      <c r="C158" s="152" t="s">
        <v>177</v>
      </c>
      <c r="D158" s="149"/>
      <c r="E158" s="153"/>
      <c r="F158" s="153"/>
      <c r="G158" s="153"/>
      <c r="H158" s="154" t="s">
        <v>12</v>
      </c>
      <c r="I158" s="153" t="s">
        <v>172</v>
      </c>
      <c r="J158" s="155"/>
      <c r="K158" s="150"/>
      <c r="L158" s="118"/>
      <c r="M158" s="118"/>
      <c r="N158" s="17">
        <f t="shared" si="24"/>
        <v>0</v>
      </c>
      <c r="O158" s="156"/>
    </row>
    <row r="159" spans="1:15" ht="6" hidden="1" customHeight="1" outlineLevel="1" x14ac:dyDescent="0.25">
      <c r="A159" s="26" t="str">
        <f>IF(K159="","",MAX(A$2:A158)+1)</f>
        <v/>
      </c>
      <c r="B159" s="14"/>
      <c r="C159" s="24"/>
      <c r="D159" s="5"/>
      <c r="E159" s="46"/>
      <c r="F159" s="41"/>
      <c r="G159" s="41"/>
      <c r="H159" s="103"/>
      <c r="I159" s="41"/>
      <c r="J159" s="91"/>
      <c r="K159" s="88"/>
      <c r="L159" s="17"/>
      <c r="M159" s="17"/>
      <c r="N159" s="17">
        <f t="shared" si="24"/>
        <v>0</v>
      </c>
      <c r="O159" s="104"/>
    </row>
    <row r="160" spans="1:15" ht="13.15" hidden="1" customHeight="1" outlineLevel="1" x14ac:dyDescent="0.25">
      <c r="A160" s="26" t="str">
        <f>IF(K160="","",MAX(A$2:A159)+1)</f>
        <v/>
      </c>
      <c r="B160" s="14"/>
      <c r="C160" s="42"/>
      <c r="D160" s="5"/>
      <c r="E160" s="46"/>
      <c r="F160" s="41"/>
      <c r="G160" s="41"/>
      <c r="H160" s="103"/>
      <c r="I160" s="132">
        <f>SUM(I155:I158)</f>
        <v>60</v>
      </c>
      <c r="J160" s="91"/>
      <c r="K160" s="88"/>
      <c r="L160" s="17"/>
      <c r="M160" s="17"/>
      <c r="N160" s="17">
        <f t="shared" si="24"/>
        <v>0</v>
      </c>
      <c r="O160" s="104"/>
    </row>
    <row r="161" spans="1:15" ht="15" customHeight="1" x14ac:dyDescent="0.25">
      <c r="A161" s="26" t="str">
        <f>IF(K161="","",MAX(A$2:A160)+1)</f>
        <v/>
      </c>
      <c r="B161" s="14"/>
      <c r="C161" s="21"/>
      <c r="D161" s="5"/>
      <c r="E161" s="5"/>
      <c r="F161" s="5"/>
      <c r="G161" s="5"/>
      <c r="H161" s="5"/>
      <c r="I161" s="5"/>
      <c r="J161" s="88"/>
      <c r="K161" s="88"/>
      <c r="L161" s="17"/>
      <c r="M161" s="17"/>
      <c r="N161" s="17"/>
      <c r="O161" s="56"/>
    </row>
    <row r="162" spans="1:15" ht="15" customHeight="1" x14ac:dyDescent="0.25">
      <c r="A162" s="26" t="str">
        <f>IF(K162="","",MAX(A$2:A161)+1)</f>
        <v/>
      </c>
      <c r="B162" s="14" t="s">
        <v>375</v>
      </c>
      <c r="C162" s="21" t="s">
        <v>57</v>
      </c>
      <c r="D162" s="5"/>
      <c r="E162" s="5"/>
      <c r="F162" s="5"/>
      <c r="G162" s="5"/>
      <c r="H162" s="5"/>
      <c r="I162" s="5"/>
      <c r="J162" s="88"/>
      <c r="K162" s="88"/>
      <c r="L162" s="54"/>
      <c r="M162" s="17"/>
      <c r="N162" s="17">
        <f t="shared" ref="N162:N165" si="25">+M162*L162</f>
        <v>0</v>
      </c>
      <c r="O162" s="56"/>
    </row>
    <row r="163" spans="1:15" ht="15" customHeight="1" collapsed="1" x14ac:dyDescent="0.25">
      <c r="A163" s="26">
        <f>IF(K163="","",MAX(A$2:A162)+1)</f>
        <v>29</v>
      </c>
      <c r="B163" s="14"/>
      <c r="C163" s="43" t="s">
        <v>300</v>
      </c>
      <c r="D163" s="5"/>
      <c r="E163" s="5"/>
      <c r="F163" s="5"/>
      <c r="G163" s="5"/>
      <c r="H163" s="5"/>
      <c r="I163" s="5"/>
      <c r="J163" s="88"/>
      <c r="K163" s="88" t="s">
        <v>60</v>
      </c>
      <c r="L163" s="54">
        <f>I167</f>
        <v>5</v>
      </c>
      <c r="M163" s="17"/>
      <c r="N163" s="17">
        <f>+M163*L163</f>
        <v>0</v>
      </c>
      <c r="O163" s="56"/>
    </row>
    <row r="164" spans="1:15" s="119" customFormat="1" ht="13.15" hidden="1" customHeight="1" outlineLevel="1" x14ac:dyDescent="0.25">
      <c r="A164" s="26" t="str">
        <f>IF(K164="","",MAX(A$2:A163)+1)</f>
        <v/>
      </c>
      <c r="B164" s="205"/>
      <c r="C164" s="152" t="s">
        <v>247</v>
      </c>
      <c r="D164" s="149"/>
      <c r="E164" s="153"/>
      <c r="F164" s="153"/>
      <c r="G164" s="153"/>
      <c r="H164" s="154" t="s">
        <v>12</v>
      </c>
      <c r="I164" s="186">
        <v>3</v>
      </c>
      <c r="J164" s="155"/>
      <c r="K164" s="150"/>
      <c r="L164" s="175"/>
      <c r="M164" s="118"/>
      <c r="N164" s="118">
        <f t="shared" si="25"/>
        <v>0</v>
      </c>
      <c r="O164" s="156"/>
    </row>
    <row r="165" spans="1:15" s="119" customFormat="1" ht="13.15" hidden="1" customHeight="1" outlineLevel="1" x14ac:dyDescent="0.25">
      <c r="A165" s="26" t="str">
        <f>IF(K165="","",MAX(A$2:A164)+1)</f>
        <v/>
      </c>
      <c r="B165" s="205"/>
      <c r="C165" s="152" t="s">
        <v>176</v>
      </c>
      <c r="D165" s="149"/>
      <c r="E165" s="153"/>
      <c r="F165" s="153"/>
      <c r="G165" s="153"/>
      <c r="H165" s="154" t="s">
        <v>12</v>
      </c>
      <c r="I165" s="186">
        <v>2</v>
      </c>
      <c r="J165" s="155"/>
      <c r="K165" s="150"/>
      <c r="L165" s="175"/>
      <c r="M165" s="118"/>
      <c r="N165" s="118">
        <f t="shared" si="25"/>
        <v>0</v>
      </c>
      <c r="O165" s="156"/>
    </row>
    <row r="166" spans="1:15" ht="6" hidden="1" customHeight="1" outlineLevel="1" x14ac:dyDescent="0.25">
      <c r="A166" s="26" t="str">
        <f>IF(K166="","",MAX(A$2:A165)+1)</f>
        <v/>
      </c>
      <c r="B166" s="14"/>
      <c r="C166" s="24"/>
      <c r="D166" s="5"/>
      <c r="E166" s="46"/>
      <c r="F166" s="41"/>
      <c r="G166" s="41"/>
      <c r="H166" s="103"/>
      <c r="I166" s="46"/>
      <c r="J166" s="91"/>
      <c r="K166" s="88"/>
      <c r="L166" s="54"/>
      <c r="M166" s="17"/>
      <c r="N166" s="17"/>
      <c r="O166" s="104"/>
    </row>
    <row r="167" spans="1:15" ht="13.15" hidden="1" customHeight="1" outlineLevel="1" x14ac:dyDescent="0.25">
      <c r="A167" s="26" t="str">
        <f>IF(K167="","",MAX(A$2:A166)+1)</f>
        <v/>
      </c>
      <c r="B167" s="14"/>
      <c r="C167" s="42"/>
      <c r="D167" s="5"/>
      <c r="E167" s="46"/>
      <c r="F167" s="41"/>
      <c r="G167" s="41"/>
      <c r="H167" s="103"/>
      <c r="I167" s="187">
        <f>SUM(I164:I165)</f>
        <v>5</v>
      </c>
      <c r="J167" s="91"/>
      <c r="K167" s="88"/>
      <c r="L167" s="54"/>
      <c r="M167" s="17"/>
      <c r="N167" s="17">
        <f t="shared" ref="N167" si="26">+M167*L167</f>
        <v>0</v>
      </c>
      <c r="O167" s="104"/>
    </row>
    <row r="168" spans="1:15" ht="15" customHeight="1" collapsed="1" x14ac:dyDescent="0.25">
      <c r="A168" s="26">
        <f>IF(K168="","",MAX(A$2:A167)+1)</f>
        <v>30</v>
      </c>
      <c r="B168" s="14"/>
      <c r="C168" s="43" t="s">
        <v>299</v>
      </c>
      <c r="D168" s="5"/>
      <c r="E168" s="5"/>
      <c r="F168" s="5"/>
      <c r="G168" s="5"/>
      <c r="H168" s="5"/>
      <c r="I168" s="5"/>
      <c r="J168" s="88"/>
      <c r="K168" s="88" t="s">
        <v>60</v>
      </c>
      <c r="L168" s="54">
        <f>I171</f>
        <v>1</v>
      </c>
      <c r="M168" s="17"/>
      <c r="N168" s="17">
        <f>+M168*L168</f>
        <v>0</v>
      </c>
      <c r="O168" s="56"/>
    </row>
    <row r="169" spans="1:15" s="119" customFormat="1" ht="13.15" hidden="1" customHeight="1" outlineLevel="1" x14ac:dyDescent="0.25">
      <c r="A169" s="26" t="str">
        <f>IF(K169="","",MAX(A$2:A168)+1)</f>
        <v/>
      </c>
      <c r="B169" s="205"/>
      <c r="C169" s="152" t="s">
        <v>177</v>
      </c>
      <c r="D169" s="149"/>
      <c r="E169" s="153"/>
      <c r="F169" s="153"/>
      <c r="G169" s="153"/>
      <c r="H169" s="154" t="s">
        <v>12</v>
      </c>
      <c r="I169" s="186">
        <v>1</v>
      </c>
      <c r="J169" s="155"/>
      <c r="K169" s="150"/>
      <c r="L169" s="175"/>
      <c r="M169" s="118"/>
      <c r="N169" s="118">
        <f t="shared" ref="N169" si="27">+M169*L169</f>
        <v>0</v>
      </c>
      <c r="O169" s="156"/>
    </row>
    <row r="170" spans="1:15" ht="6" hidden="1" customHeight="1" outlineLevel="1" x14ac:dyDescent="0.25">
      <c r="A170" s="26" t="str">
        <f>IF(K170="","",MAX(A$2:A169)+1)</f>
        <v/>
      </c>
      <c r="B170" s="14"/>
      <c r="C170" s="24"/>
      <c r="D170" s="5"/>
      <c r="E170" s="46"/>
      <c r="F170" s="41"/>
      <c r="G170" s="41"/>
      <c r="H170" s="103"/>
      <c r="I170" s="46"/>
      <c r="J170" s="91"/>
      <c r="K170" s="88"/>
      <c r="L170" s="54"/>
      <c r="M170" s="17"/>
      <c r="N170" s="17"/>
      <c r="O170" s="104"/>
    </row>
    <row r="171" spans="1:15" ht="13.15" hidden="1" customHeight="1" outlineLevel="1" x14ac:dyDescent="0.25">
      <c r="A171" s="26" t="str">
        <f>IF(K171="","",MAX(A$2:A170)+1)</f>
        <v/>
      </c>
      <c r="B171" s="14"/>
      <c r="C171" s="42"/>
      <c r="D171" s="5"/>
      <c r="E171" s="46"/>
      <c r="F171" s="41"/>
      <c r="G171" s="41"/>
      <c r="H171" s="103"/>
      <c r="I171" s="187">
        <f>SUM(I169:I169)</f>
        <v>1</v>
      </c>
      <c r="J171" s="91"/>
      <c r="K171" s="88"/>
      <c r="L171" s="54"/>
      <c r="M171" s="17"/>
      <c r="N171" s="17">
        <f t="shared" ref="N171" si="28">+M171*L171</f>
        <v>0</v>
      </c>
      <c r="O171" s="104"/>
    </row>
    <row r="172" spans="1:15" ht="15" customHeight="1" x14ac:dyDescent="0.25">
      <c r="A172" s="26" t="str">
        <f>IF(K172="","",MAX(A$2:A171)+1)</f>
        <v/>
      </c>
      <c r="B172" s="14"/>
      <c r="C172" s="23"/>
      <c r="D172" s="5"/>
      <c r="E172" s="5"/>
      <c r="F172" s="5"/>
      <c r="G172" s="5"/>
      <c r="H172" s="5"/>
      <c r="I172" s="5"/>
      <c r="J172" s="88"/>
      <c r="K172" s="115"/>
      <c r="L172" s="17"/>
      <c r="M172" s="17"/>
      <c r="N172" s="17"/>
      <c r="O172" s="56"/>
    </row>
    <row r="173" spans="1:15" ht="15" customHeight="1" x14ac:dyDescent="0.25">
      <c r="A173" s="26" t="str">
        <f>IF(K173="","",MAX(A$2:A172)+1)</f>
        <v/>
      </c>
      <c r="B173" s="14" t="s">
        <v>24</v>
      </c>
      <c r="C173" s="21" t="s">
        <v>251</v>
      </c>
      <c r="D173" s="5"/>
      <c r="E173" s="5"/>
      <c r="F173" s="5"/>
      <c r="G173" s="5"/>
      <c r="H173" s="5"/>
      <c r="I173" s="5"/>
      <c r="J173" s="88"/>
      <c r="K173" s="88"/>
      <c r="L173" s="17"/>
      <c r="M173" s="17"/>
      <c r="N173" s="17">
        <f t="shared" ref="N173:N178" si="29">+M173*L173</f>
        <v>0</v>
      </c>
      <c r="O173" s="56"/>
    </row>
    <row r="174" spans="1:15" ht="15" customHeight="1" collapsed="1" x14ac:dyDescent="0.25">
      <c r="A174" s="26">
        <f>IF(K174="","",MAX(A$2:A173)+1)</f>
        <v>31</v>
      </c>
      <c r="B174" s="14"/>
      <c r="C174" s="23" t="s">
        <v>252</v>
      </c>
      <c r="D174" s="22"/>
      <c r="E174" s="22"/>
      <c r="F174" s="22"/>
      <c r="G174" s="22"/>
      <c r="H174" s="25"/>
      <c r="I174" s="25"/>
      <c r="J174" s="58"/>
      <c r="K174" s="88" t="s">
        <v>27</v>
      </c>
      <c r="L174" s="17">
        <f>ROUNDUP(I180,)</f>
        <v>31</v>
      </c>
      <c r="M174" s="17"/>
      <c r="N174" s="17">
        <f t="shared" si="29"/>
        <v>0</v>
      </c>
      <c r="O174" s="56"/>
    </row>
    <row r="175" spans="1:15" s="119" customFormat="1" ht="13.15" hidden="1" customHeight="1" outlineLevel="1" x14ac:dyDescent="0.25">
      <c r="A175" s="26" t="str">
        <f>IF(K175="","",MAX(A$2:A174)+1)</f>
        <v/>
      </c>
      <c r="B175" s="205"/>
      <c r="C175" s="152" t="s">
        <v>247</v>
      </c>
      <c r="D175" s="149"/>
      <c r="E175" s="153"/>
      <c r="F175" s="153"/>
      <c r="G175" s="153"/>
      <c r="H175" s="154" t="s">
        <v>12</v>
      </c>
      <c r="I175" s="153" t="s">
        <v>172</v>
      </c>
      <c r="J175" s="155"/>
      <c r="K175" s="150"/>
      <c r="L175" s="118"/>
      <c r="M175" s="118"/>
      <c r="N175" s="118">
        <f t="shared" si="29"/>
        <v>0</v>
      </c>
      <c r="O175" s="156"/>
    </row>
    <row r="176" spans="1:15" s="119" customFormat="1" ht="13.15" hidden="1" customHeight="1" outlineLevel="1" x14ac:dyDescent="0.25">
      <c r="A176" s="26" t="str">
        <f>IF(K176="","",MAX(A$2:A175)+1)</f>
        <v/>
      </c>
      <c r="B176" s="205"/>
      <c r="C176" s="152" t="s">
        <v>176</v>
      </c>
      <c r="D176" s="149"/>
      <c r="E176" s="153"/>
      <c r="F176" s="153"/>
      <c r="G176" s="153"/>
      <c r="H176" s="154" t="s">
        <v>12</v>
      </c>
      <c r="I176" s="153" t="s">
        <v>172</v>
      </c>
      <c r="J176" s="155"/>
      <c r="K176" s="150"/>
      <c r="L176" s="118"/>
      <c r="M176" s="118"/>
      <c r="N176" s="118">
        <f t="shared" si="29"/>
        <v>0</v>
      </c>
      <c r="O176" s="156"/>
    </row>
    <row r="177" spans="1:15" s="119" customFormat="1" ht="13.15" hidden="1" customHeight="1" outlineLevel="1" x14ac:dyDescent="0.25">
      <c r="A177" s="26" t="str">
        <f>IF(K177="","",MAX(A$2:A176)+1)</f>
        <v/>
      </c>
      <c r="B177" s="205"/>
      <c r="C177" s="152" t="s">
        <v>241</v>
      </c>
      <c r="D177" s="149"/>
      <c r="E177" s="153"/>
      <c r="F177" s="153"/>
      <c r="G177" s="153"/>
      <c r="H177" s="154" t="s">
        <v>12</v>
      </c>
      <c r="I177" s="153" t="s">
        <v>172</v>
      </c>
      <c r="J177" s="155"/>
      <c r="K177" s="150"/>
      <c r="L177" s="118"/>
      <c r="M177" s="118"/>
      <c r="N177" s="118">
        <f t="shared" si="29"/>
        <v>0</v>
      </c>
      <c r="O177" s="156"/>
    </row>
    <row r="178" spans="1:15" s="119" customFormat="1" ht="13.15" hidden="1" customHeight="1" outlineLevel="1" x14ac:dyDescent="0.25">
      <c r="A178" s="26" t="str">
        <f>IF(K178="","",MAX(A$2:A177)+1)</f>
        <v/>
      </c>
      <c r="B178" s="205"/>
      <c r="C178" s="152" t="s">
        <v>177</v>
      </c>
      <c r="D178" s="149"/>
      <c r="E178" s="153"/>
      <c r="F178" s="153"/>
      <c r="G178" s="153"/>
      <c r="H178" s="154" t="s">
        <v>12</v>
      </c>
      <c r="I178" s="153">
        <v>31</v>
      </c>
      <c r="J178" s="155"/>
      <c r="K178" s="150"/>
      <c r="L178" s="118"/>
      <c r="M178" s="118"/>
      <c r="N178" s="118">
        <f t="shared" si="29"/>
        <v>0</v>
      </c>
      <c r="O178" s="156"/>
    </row>
    <row r="179" spans="1:15" ht="6" hidden="1" customHeight="1" outlineLevel="1" x14ac:dyDescent="0.25">
      <c r="A179" s="26" t="str">
        <f>IF(K179="","",MAX(A$2:A178)+1)</f>
        <v/>
      </c>
      <c r="B179" s="14"/>
      <c r="C179" s="24"/>
      <c r="D179" s="5"/>
      <c r="E179" s="46"/>
      <c r="F179" s="41"/>
      <c r="G179" s="41"/>
      <c r="H179" s="103"/>
      <c r="I179" s="41"/>
      <c r="J179" s="91"/>
      <c r="K179" s="88"/>
      <c r="L179" s="17"/>
      <c r="M179" s="17"/>
      <c r="N179" s="17"/>
      <c r="O179" s="104"/>
    </row>
    <row r="180" spans="1:15" ht="13.15" hidden="1" customHeight="1" outlineLevel="1" x14ac:dyDescent="0.25">
      <c r="A180" s="26" t="str">
        <f>IF(K180="","",MAX(A$2:A179)+1)</f>
        <v/>
      </c>
      <c r="B180" s="14"/>
      <c r="C180" s="42"/>
      <c r="D180" s="5"/>
      <c r="E180" s="46"/>
      <c r="F180" s="41"/>
      <c r="G180" s="41"/>
      <c r="H180" s="103"/>
      <c r="I180" s="132">
        <f>SUM(I175:I178)</f>
        <v>31</v>
      </c>
      <c r="J180" s="91"/>
      <c r="K180" s="88"/>
      <c r="L180" s="17"/>
      <c r="M180" s="17"/>
      <c r="N180" s="17">
        <f>+M180*L180</f>
        <v>0</v>
      </c>
      <c r="O180" s="104"/>
    </row>
    <row r="181" spans="1:15" ht="15" customHeight="1" x14ac:dyDescent="0.25">
      <c r="A181" s="26" t="str">
        <f>IF(K181="","",MAX(A$2:A180)+1)</f>
        <v/>
      </c>
      <c r="B181" s="14"/>
      <c r="C181" s="21"/>
      <c r="D181" s="22"/>
      <c r="E181" s="22"/>
      <c r="F181" s="22"/>
      <c r="G181" s="22"/>
      <c r="H181" s="22"/>
      <c r="I181" s="22"/>
      <c r="J181" s="58"/>
      <c r="K181" s="88"/>
      <c r="L181" s="17"/>
      <c r="M181" s="17"/>
      <c r="N181" s="17"/>
      <c r="O181" s="56"/>
    </row>
    <row r="182" spans="1:15" ht="15" customHeight="1" x14ac:dyDescent="0.25">
      <c r="A182" s="26" t="str">
        <f>IF(K182="","",MAX(A$2:A181)+1)</f>
        <v/>
      </c>
      <c r="B182" s="14" t="s">
        <v>25</v>
      </c>
      <c r="C182" s="21" t="s">
        <v>301</v>
      </c>
      <c r="D182" s="5"/>
      <c r="E182" s="5"/>
      <c r="F182" s="23"/>
      <c r="G182" s="5"/>
      <c r="H182" s="5"/>
      <c r="I182" s="5"/>
      <c r="J182" s="88"/>
      <c r="K182" s="88"/>
      <c r="L182" s="17"/>
      <c r="M182" s="17"/>
      <c r="N182" s="17">
        <f t="shared" ref="N182" si="30">+M182*L182</f>
        <v>0</v>
      </c>
      <c r="O182" s="56"/>
    </row>
    <row r="183" spans="1:15" ht="15" customHeight="1" collapsed="1" x14ac:dyDescent="0.25">
      <c r="A183" s="26">
        <f>IF(K183="","",MAX(A$2:A182)+1)</f>
        <v>32</v>
      </c>
      <c r="B183" s="14"/>
      <c r="C183" s="23" t="s">
        <v>302</v>
      </c>
      <c r="D183" s="5"/>
      <c r="E183" s="5"/>
      <c r="F183" s="5"/>
      <c r="G183" s="5"/>
      <c r="H183" s="5"/>
      <c r="I183" s="5"/>
      <c r="J183" s="88"/>
      <c r="K183" s="88" t="s">
        <v>27</v>
      </c>
      <c r="L183" s="17">
        <f>ROUNDUP(I189,)</f>
        <v>84</v>
      </c>
      <c r="M183" s="17"/>
      <c r="N183" s="17">
        <f>+M183*L183</f>
        <v>0</v>
      </c>
      <c r="O183" s="56"/>
    </row>
    <row r="184" spans="1:15" s="119" customFormat="1" ht="13.15" hidden="1" customHeight="1" outlineLevel="1" x14ac:dyDescent="0.25">
      <c r="A184" s="26" t="str">
        <f>IF(K184="","",MAX(A$2:A183)+1)</f>
        <v/>
      </c>
      <c r="B184" s="205"/>
      <c r="C184" s="152" t="s">
        <v>247</v>
      </c>
      <c r="D184" s="149"/>
      <c r="E184" s="153"/>
      <c r="F184" s="153"/>
      <c r="G184" s="153"/>
      <c r="H184" s="154" t="s">
        <v>12</v>
      </c>
      <c r="I184" s="153">
        <f>6.95*4+2.6</f>
        <v>30.400000000000002</v>
      </c>
      <c r="J184" s="155"/>
      <c r="K184" s="150"/>
      <c r="L184" s="118"/>
      <c r="M184" s="118"/>
      <c r="N184" s="118">
        <f t="shared" ref="N184:N187" si="31">+M184*L184</f>
        <v>0</v>
      </c>
      <c r="O184" s="156"/>
    </row>
    <row r="185" spans="1:15" s="119" customFormat="1" ht="13.15" hidden="1" customHeight="1" outlineLevel="1" x14ac:dyDescent="0.25">
      <c r="A185" s="26" t="str">
        <f>IF(K185="","",MAX(A$2:A184)+1)</f>
        <v/>
      </c>
      <c r="B185" s="205"/>
      <c r="C185" s="152" t="s">
        <v>176</v>
      </c>
      <c r="D185" s="149"/>
      <c r="E185" s="153"/>
      <c r="F185" s="153"/>
      <c r="G185" s="153"/>
      <c r="H185" s="154" t="s">
        <v>12</v>
      </c>
      <c r="I185" s="153">
        <f>7.3+4</f>
        <v>11.3</v>
      </c>
      <c r="J185" s="155"/>
      <c r="K185" s="150"/>
      <c r="L185" s="118"/>
      <c r="M185" s="118"/>
      <c r="N185" s="118">
        <f t="shared" si="31"/>
        <v>0</v>
      </c>
      <c r="O185" s="156"/>
    </row>
    <row r="186" spans="1:15" s="119" customFormat="1" ht="13.15" hidden="1" customHeight="1" outlineLevel="1" x14ac:dyDescent="0.25">
      <c r="A186" s="26" t="str">
        <f>IF(K186="","",MAX(A$2:A185)+1)</f>
        <v/>
      </c>
      <c r="B186" s="205"/>
      <c r="C186" s="152" t="s">
        <v>241</v>
      </c>
      <c r="D186" s="149"/>
      <c r="E186" s="153"/>
      <c r="F186" s="153"/>
      <c r="G186" s="153"/>
      <c r="H186" s="154" t="s">
        <v>12</v>
      </c>
      <c r="I186" s="153">
        <f>4*4</f>
        <v>16</v>
      </c>
      <c r="J186" s="155"/>
      <c r="K186" s="150"/>
      <c r="L186" s="118"/>
      <c r="M186" s="118"/>
      <c r="N186" s="118">
        <f t="shared" si="31"/>
        <v>0</v>
      </c>
      <c r="O186" s="156"/>
    </row>
    <row r="187" spans="1:15" s="119" customFormat="1" ht="13.15" hidden="1" customHeight="1" outlineLevel="1" x14ac:dyDescent="0.25">
      <c r="A187" s="26" t="str">
        <f>IF(K187="","",MAX(A$2:A186)+1)</f>
        <v/>
      </c>
      <c r="B187" s="205"/>
      <c r="C187" s="152" t="s">
        <v>177</v>
      </c>
      <c r="D187" s="149"/>
      <c r="E187" s="153"/>
      <c r="F187" s="153"/>
      <c r="G187" s="153"/>
      <c r="H187" s="154" t="s">
        <v>12</v>
      </c>
      <c r="I187" s="153">
        <f>4*4+2.5*4</f>
        <v>26</v>
      </c>
      <c r="J187" s="155"/>
      <c r="K187" s="150"/>
      <c r="L187" s="118"/>
      <c r="M187" s="118"/>
      <c r="N187" s="118">
        <f t="shared" si="31"/>
        <v>0</v>
      </c>
      <c r="O187" s="156"/>
    </row>
    <row r="188" spans="1:15" ht="6" hidden="1" customHeight="1" outlineLevel="1" x14ac:dyDescent="0.25">
      <c r="A188" s="26" t="str">
        <f>IF(K188="","",MAX(A$2:A187)+1)</f>
        <v/>
      </c>
      <c r="B188" s="14"/>
      <c r="C188" s="24"/>
      <c r="D188" s="5"/>
      <c r="E188" s="46"/>
      <c r="F188" s="41"/>
      <c r="G188" s="41"/>
      <c r="H188" s="103"/>
      <c r="I188" s="41"/>
      <c r="J188" s="91"/>
      <c r="K188" s="88"/>
      <c r="L188" s="17"/>
      <c r="M188" s="17"/>
      <c r="N188" s="17"/>
      <c r="O188" s="104"/>
    </row>
    <row r="189" spans="1:15" ht="13.15" hidden="1" customHeight="1" outlineLevel="1" x14ac:dyDescent="0.25">
      <c r="A189" s="26" t="str">
        <f>IF(K189="","",MAX(A$2:A188)+1)</f>
        <v/>
      </c>
      <c r="B189" s="14"/>
      <c r="C189" s="42"/>
      <c r="D189" s="5"/>
      <c r="E189" s="46"/>
      <c r="F189" s="41"/>
      <c r="G189" s="41"/>
      <c r="H189" s="103"/>
      <c r="I189" s="132">
        <f>SUM(I184:I187)</f>
        <v>83.7</v>
      </c>
      <c r="J189" s="91"/>
      <c r="K189" s="88"/>
      <c r="L189" s="17"/>
      <c r="M189" s="17"/>
      <c r="N189" s="17">
        <f t="shared" ref="N189" si="32">+M189*L189</f>
        <v>0</v>
      </c>
      <c r="O189" s="104"/>
    </row>
    <row r="190" spans="1:15" ht="15" customHeight="1" x14ac:dyDescent="0.25">
      <c r="A190" s="26" t="str">
        <f>IF(K190="","",MAX(A$2:A189)+1)</f>
        <v/>
      </c>
      <c r="B190" s="14"/>
      <c r="C190" s="50"/>
      <c r="D190" s="6"/>
      <c r="E190" s="5"/>
      <c r="F190" s="22"/>
      <c r="G190" s="22"/>
      <c r="H190" s="22"/>
      <c r="I190" s="22"/>
      <c r="J190" s="58"/>
      <c r="K190" s="88"/>
      <c r="L190" s="17"/>
      <c r="M190" s="17"/>
      <c r="N190" s="17"/>
      <c r="O190" s="56"/>
    </row>
    <row r="191" spans="1:15" ht="15" customHeight="1" x14ac:dyDescent="0.25">
      <c r="A191" s="26" t="str">
        <f>IF(K191="","",MAX(A$2:A190)+1)</f>
        <v/>
      </c>
      <c r="B191" s="14" t="s">
        <v>26</v>
      </c>
      <c r="C191" s="21" t="s">
        <v>393</v>
      </c>
      <c r="D191" s="5"/>
      <c r="E191" s="5"/>
      <c r="F191" s="5"/>
      <c r="G191" s="5"/>
      <c r="H191" s="5"/>
      <c r="I191" s="5"/>
      <c r="J191" s="88"/>
      <c r="K191" s="88"/>
      <c r="L191" s="17"/>
      <c r="M191" s="17"/>
      <c r="N191" s="17">
        <f>+M191*L191</f>
        <v>0</v>
      </c>
      <c r="O191" s="56"/>
    </row>
    <row r="192" spans="1:15" ht="15" customHeight="1" collapsed="1" x14ac:dyDescent="0.25">
      <c r="A192" s="26">
        <f>IF(K192="","",MAX(A$2:A191)+1)</f>
        <v>33</v>
      </c>
      <c r="B192" s="14"/>
      <c r="C192" s="23" t="s">
        <v>46</v>
      </c>
      <c r="D192" s="22"/>
      <c r="E192" s="22"/>
      <c r="F192" s="22"/>
      <c r="G192" s="22"/>
      <c r="H192" s="25"/>
      <c r="I192" s="25"/>
      <c r="J192" s="58"/>
      <c r="K192" s="88" t="s">
        <v>27</v>
      </c>
      <c r="L192" s="17">
        <f>ROUNDUP(I198,)</f>
        <v>34</v>
      </c>
      <c r="M192" s="17"/>
      <c r="N192" s="17">
        <f>+M192*L192</f>
        <v>0</v>
      </c>
      <c r="O192" s="56"/>
    </row>
    <row r="193" spans="1:15" s="119" customFormat="1" ht="13.15" hidden="1" customHeight="1" outlineLevel="1" x14ac:dyDescent="0.25">
      <c r="A193" s="26" t="str">
        <f>IF(K193="","",MAX(A$2:A192)+1)</f>
        <v/>
      </c>
      <c r="B193" s="205"/>
      <c r="C193" s="152" t="s">
        <v>247</v>
      </c>
      <c r="D193" s="149"/>
      <c r="E193" s="153"/>
      <c r="F193" s="153"/>
      <c r="G193" s="153"/>
      <c r="H193" s="154" t="s">
        <v>12</v>
      </c>
      <c r="I193" s="153">
        <v>8.25</v>
      </c>
      <c r="J193" s="155"/>
      <c r="K193" s="150"/>
      <c r="L193" s="118"/>
      <c r="M193" s="118"/>
      <c r="N193" s="118">
        <f t="shared" ref="N193:N196" si="33">+M193*L193</f>
        <v>0</v>
      </c>
      <c r="O193" s="156"/>
    </row>
    <row r="194" spans="1:15" s="119" customFormat="1" ht="13.15" hidden="1" customHeight="1" outlineLevel="1" x14ac:dyDescent="0.25">
      <c r="A194" s="26" t="str">
        <f>IF(K194="","",MAX(A$2:A193)+1)</f>
        <v/>
      </c>
      <c r="B194" s="205"/>
      <c r="C194" s="152" t="s">
        <v>176</v>
      </c>
      <c r="D194" s="149"/>
      <c r="E194" s="153"/>
      <c r="F194" s="153"/>
      <c r="G194" s="153"/>
      <c r="H194" s="154" t="s">
        <v>12</v>
      </c>
      <c r="I194" s="153">
        <v>20</v>
      </c>
      <c r="J194" s="155"/>
      <c r="K194" s="150"/>
      <c r="L194" s="118"/>
      <c r="M194" s="118"/>
      <c r="N194" s="118">
        <f t="shared" si="33"/>
        <v>0</v>
      </c>
      <c r="O194" s="156"/>
    </row>
    <row r="195" spans="1:15" s="119" customFormat="1" ht="13.15" hidden="1" customHeight="1" outlineLevel="1" x14ac:dyDescent="0.25">
      <c r="A195" s="26" t="str">
        <f>IF(K195="","",MAX(A$2:A194)+1)</f>
        <v/>
      </c>
      <c r="B195" s="205"/>
      <c r="C195" s="152" t="s">
        <v>241</v>
      </c>
      <c r="D195" s="149"/>
      <c r="E195" s="153"/>
      <c r="F195" s="153"/>
      <c r="G195" s="153"/>
      <c r="H195" s="154" t="s">
        <v>12</v>
      </c>
      <c r="I195" s="153" t="s">
        <v>172</v>
      </c>
      <c r="J195" s="155"/>
      <c r="K195" s="150"/>
      <c r="L195" s="118"/>
      <c r="M195" s="118"/>
      <c r="N195" s="118">
        <f t="shared" si="33"/>
        <v>0</v>
      </c>
      <c r="O195" s="156"/>
    </row>
    <row r="196" spans="1:15" s="119" customFormat="1" ht="13.15" hidden="1" customHeight="1" outlineLevel="1" x14ac:dyDescent="0.25">
      <c r="A196" s="26" t="str">
        <f>IF(K196="","",MAX(A$2:A195)+1)</f>
        <v/>
      </c>
      <c r="B196" s="205"/>
      <c r="C196" s="152" t="s">
        <v>177</v>
      </c>
      <c r="D196" s="149"/>
      <c r="E196" s="153"/>
      <c r="F196" s="153"/>
      <c r="G196" s="153"/>
      <c r="H196" s="154" t="s">
        <v>12</v>
      </c>
      <c r="I196" s="153">
        <v>5</v>
      </c>
      <c r="J196" s="155"/>
      <c r="K196" s="150"/>
      <c r="L196" s="118"/>
      <c r="M196" s="118"/>
      <c r="N196" s="118">
        <f t="shared" si="33"/>
        <v>0</v>
      </c>
      <c r="O196" s="156"/>
    </row>
    <row r="197" spans="1:15" ht="6" hidden="1" customHeight="1" outlineLevel="1" x14ac:dyDescent="0.25">
      <c r="A197" s="26" t="str">
        <f>IF(K197="","",MAX(A$2:A196)+1)</f>
        <v/>
      </c>
      <c r="B197" s="14"/>
      <c r="C197" s="24"/>
      <c r="D197" s="5"/>
      <c r="E197" s="46"/>
      <c r="F197" s="41"/>
      <c r="G197" s="41"/>
      <c r="H197" s="103"/>
      <c r="I197" s="41"/>
      <c r="J197" s="91"/>
      <c r="K197" s="88"/>
      <c r="L197" s="17"/>
      <c r="M197" s="17"/>
      <c r="N197" s="17"/>
      <c r="O197" s="104"/>
    </row>
    <row r="198" spans="1:15" ht="13.15" hidden="1" customHeight="1" outlineLevel="1" x14ac:dyDescent="0.25">
      <c r="A198" s="26" t="str">
        <f>IF(K198="","",MAX(A$2:A197)+1)</f>
        <v/>
      </c>
      <c r="B198" s="14"/>
      <c r="C198" s="42"/>
      <c r="D198" s="5"/>
      <c r="E198" s="46"/>
      <c r="F198" s="41"/>
      <c r="G198" s="41"/>
      <c r="H198" s="103"/>
      <c r="I198" s="132">
        <f>SUM(I193:I196)</f>
        <v>33.25</v>
      </c>
      <c r="J198" s="91"/>
      <c r="K198" s="88"/>
      <c r="L198" s="17"/>
      <c r="M198" s="17"/>
      <c r="N198" s="17">
        <f t="shared" ref="N198" si="34">+M198*L198</f>
        <v>0</v>
      </c>
      <c r="O198" s="104"/>
    </row>
    <row r="199" spans="1:15" ht="15" customHeight="1" x14ac:dyDescent="0.25">
      <c r="A199" s="26" t="str">
        <f>IF(K199="","",MAX(A$2:A198)+1)</f>
        <v/>
      </c>
      <c r="B199" s="14"/>
      <c r="C199" s="21"/>
      <c r="D199" s="22"/>
      <c r="E199" s="22"/>
      <c r="F199" s="22"/>
      <c r="G199" s="22"/>
      <c r="H199" s="22"/>
      <c r="I199" s="22"/>
      <c r="J199" s="58"/>
      <c r="K199" s="88"/>
      <c r="L199" s="17"/>
      <c r="M199" s="17"/>
      <c r="N199" s="17"/>
      <c r="O199" s="56"/>
    </row>
    <row r="200" spans="1:15" ht="15" customHeight="1" x14ac:dyDescent="0.25">
      <c r="A200" s="26" t="str">
        <f>IF(K200="","",MAX(A$2:A199)+1)</f>
        <v/>
      </c>
      <c r="B200" s="14" t="s">
        <v>376</v>
      </c>
      <c r="C200" s="21" t="s">
        <v>140</v>
      </c>
      <c r="D200" s="5"/>
      <c r="E200" s="6"/>
      <c r="F200" s="5"/>
      <c r="G200" s="5"/>
      <c r="H200" s="5"/>
      <c r="I200" s="5"/>
      <c r="J200" s="88"/>
      <c r="K200" s="88"/>
      <c r="L200" s="17"/>
      <c r="M200" s="17"/>
      <c r="N200" s="17">
        <f>+M200*L200</f>
        <v>0</v>
      </c>
      <c r="O200" s="56"/>
    </row>
    <row r="201" spans="1:15" ht="21" customHeight="1" x14ac:dyDescent="0.25">
      <c r="A201" s="26" t="str">
        <f>IF(K201="","",MAX(A$2:A200)+1)</f>
        <v/>
      </c>
      <c r="B201" s="14"/>
      <c r="C201" s="231" t="s">
        <v>137</v>
      </c>
      <c r="D201" s="232"/>
      <c r="E201" s="232"/>
      <c r="F201" s="232"/>
      <c r="G201" s="232"/>
      <c r="H201" s="232"/>
      <c r="I201" s="232"/>
      <c r="J201" s="233"/>
      <c r="K201" s="88"/>
      <c r="L201" s="17"/>
      <c r="M201" s="17"/>
      <c r="N201" s="17"/>
      <c r="O201" s="56"/>
    </row>
    <row r="202" spans="1:15" ht="15" customHeight="1" x14ac:dyDescent="0.25">
      <c r="A202" s="26">
        <f>IF(K202="","",MAX(A$2:A201)+1)</f>
        <v>34</v>
      </c>
      <c r="B202" s="14"/>
      <c r="C202" s="43" t="s">
        <v>278</v>
      </c>
      <c r="D202" s="5"/>
      <c r="E202" s="5"/>
      <c r="F202" s="5"/>
      <c r="G202" s="5"/>
      <c r="H202" s="5"/>
      <c r="I202" s="5"/>
      <c r="J202" s="88"/>
      <c r="K202" s="88" t="s">
        <v>27</v>
      </c>
      <c r="L202" s="17">
        <v>8</v>
      </c>
      <c r="M202" s="17"/>
      <c r="N202" s="17">
        <f>+M202*L202</f>
        <v>0</v>
      </c>
      <c r="O202" s="56"/>
    </row>
    <row r="203" spans="1:15" ht="15" customHeight="1" x14ac:dyDescent="0.25">
      <c r="A203" s="26" t="str">
        <f>IF(K203="","",MAX(A$2:A202)+1)</f>
        <v/>
      </c>
      <c r="B203" s="14"/>
      <c r="C203" s="21"/>
      <c r="D203" s="22"/>
      <c r="E203" s="22"/>
      <c r="F203" s="25"/>
      <c r="G203" s="22"/>
      <c r="H203" s="25"/>
      <c r="I203" s="25"/>
      <c r="J203" s="58"/>
      <c r="K203" s="88"/>
      <c r="L203" s="17"/>
      <c r="M203" s="17"/>
      <c r="N203" s="17"/>
      <c r="O203" s="56"/>
    </row>
    <row r="204" spans="1:15" ht="15" customHeight="1" x14ac:dyDescent="0.25">
      <c r="A204" s="26" t="str">
        <f>IF(K204="","",MAX(A$2:A203)+1)</f>
        <v/>
      </c>
      <c r="B204" s="14" t="s">
        <v>407</v>
      </c>
      <c r="C204" s="21" t="s">
        <v>286</v>
      </c>
      <c r="D204" s="5"/>
      <c r="E204" s="5"/>
      <c r="F204" s="5"/>
      <c r="G204" s="5"/>
      <c r="H204" s="5"/>
      <c r="I204" s="5"/>
      <c r="J204" s="88"/>
      <c r="K204" s="88"/>
      <c r="L204" s="17"/>
      <c r="M204" s="17"/>
      <c r="N204" s="17"/>
      <c r="O204" s="56"/>
    </row>
    <row r="205" spans="1:15" ht="15" customHeight="1" x14ac:dyDescent="0.25">
      <c r="A205" s="26" t="str">
        <f>IF(K205="","",MAX(A$2:A204)+1)</f>
        <v/>
      </c>
      <c r="B205" s="14"/>
      <c r="C205" s="23" t="s">
        <v>166</v>
      </c>
      <c r="D205" s="5"/>
      <c r="E205" s="5"/>
      <c r="F205" s="5"/>
      <c r="G205" s="5"/>
      <c r="H205" s="125"/>
      <c r="I205" s="125"/>
      <c r="J205" s="88"/>
      <c r="K205" s="88"/>
      <c r="L205" s="17"/>
      <c r="M205" s="17"/>
      <c r="N205" s="17"/>
      <c r="O205" s="124"/>
    </row>
    <row r="206" spans="1:15" ht="23.45" customHeight="1" collapsed="1" x14ac:dyDescent="0.25">
      <c r="A206" s="26">
        <f>IF(K206="","",MAX(A$2:A205)+1)</f>
        <v>35</v>
      </c>
      <c r="B206" s="14"/>
      <c r="C206" s="240" t="s">
        <v>323</v>
      </c>
      <c r="D206" s="241"/>
      <c r="E206" s="241"/>
      <c r="F206" s="241"/>
      <c r="G206" s="241"/>
      <c r="H206" s="241"/>
      <c r="I206" s="241"/>
      <c r="J206" s="242"/>
      <c r="K206" s="88" t="s">
        <v>27</v>
      </c>
      <c r="L206" s="17">
        <v>14</v>
      </c>
      <c r="M206" s="17"/>
      <c r="N206" s="17">
        <f t="shared" ref="N206:N217" si="35">+M206*L206</f>
        <v>0</v>
      </c>
      <c r="O206" s="56"/>
    </row>
    <row r="207" spans="1:15" s="119" customFormat="1" ht="13.15" hidden="1" customHeight="1" outlineLevel="1" x14ac:dyDescent="0.25">
      <c r="A207" s="26" t="str">
        <f>IF(K207="","",MAX(A$2:A206)+1)</f>
        <v/>
      </c>
      <c r="B207" s="205"/>
      <c r="C207" s="152" t="s">
        <v>255</v>
      </c>
      <c r="D207" s="149"/>
      <c r="E207" s="153"/>
      <c r="F207" s="153"/>
      <c r="G207" s="153"/>
      <c r="H207" s="154"/>
      <c r="I207" s="153"/>
      <c r="J207" s="155"/>
      <c r="K207" s="150"/>
      <c r="L207" s="118"/>
      <c r="M207" s="118"/>
      <c r="N207" s="17">
        <f t="shared" si="35"/>
        <v>0</v>
      </c>
      <c r="O207" s="156"/>
    </row>
    <row r="208" spans="1:15" s="119" customFormat="1" ht="13.15" hidden="1" customHeight="1" outlineLevel="1" x14ac:dyDescent="0.25">
      <c r="A208" s="26" t="str">
        <f>IF(K208="","",MAX(A$2:A207)+1)</f>
        <v/>
      </c>
      <c r="B208" s="205"/>
      <c r="C208" s="142" t="s">
        <v>325</v>
      </c>
      <c r="D208" s="149"/>
      <c r="E208" s="153"/>
      <c r="F208" s="153"/>
      <c r="G208" s="153"/>
      <c r="H208" s="154" t="s">
        <v>12</v>
      </c>
      <c r="I208" s="153">
        <v>4</v>
      </c>
      <c r="J208" s="155"/>
      <c r="K208" s="150"/>
      <c r="L208" s="118"/>
      <c r="M208" s="118"/>
      <c r="N208" s="17">
        <f t="shared" si="35"/>
        <v>0</v>
      </c>
      <c r="O208" s="156"/>
    </row>
    <row r="209" spans="1:15" s="119" customFormat="1" ht="13.15" hidden="1" customHeight="1" outlineLevel="1" x14ac:dyDescent="0.25">
      <c r="A209" s="26" t="str">
        <f>IF(K209="","",MAX(A$2:A208)+1)</f>
        <v/>
      </c>
      <c r="B209" s="205"/>
      <c r="C209" s="142" t="s">
        <v>254</v>
      </c>
      <c r="D209" s="149"/>
      <c r="E209" s="153"/>
      <c r="F209" s="153"/>
      <c r="G209" s="153"/>
      <c r="H209" s="154" t="s">
        <v>12</v>
      </c>
      <c r="I209" s="153">
        <v>2.15</v>
      </c>
      <c r="J209" s="155"/>
      <c r="K209" s="150"/>
      <c r="L209" s="118"/>
      <c r="M209" s="118"/>
      <c r="N209" s="17">
        <f t="shared" si="35"/>
        <v>0</v>
      </c>
      <c r="O209" s="156"/>
    </row>
    <row r="210" spans="1:15" s="119" customFormat="1" ht="13.15" hidden="1" customHeight="1" outlineLevel="1" x14ac:dyDescent="0.25">
      <c r="A210" s="26" t="str">
        <f>IF(K210="","",MAX(A$2:A209)+1)</f>
        <v/>
      </c>
      <c r="B210" s="205"/>
      <c r="C210" s="152" t="s">
        <v>176</v>
      </c>
      <c r="D210" s="149"/>
      <c r="E210" s="153"/>
      <c r="F210" s="153"/>
      <c r="G210" s="153"/>
      <c r="H210" s="154" t="s">
        <v>12</v>
      </c>
      <c r="I210" s="153" t="s">
        <v>172</v>
      </c>
      <c r="J210" s="155"/>
      <c r="K210" s="150"/>
      <c r="L210" s="118"/>
      <c r="M210" s="118"/>
      <c r="N210" s="17">
        <f t="shared" si="35"/>
        <v>0</v>
      </c>
      <c r="O210" s="156"/>
    </row>
    <row r="211" spans="1:15" s="119" customFormat="1" ht="13.15" hidden="1" customHeight="1" outlineLevel="1" x14ac:dyDescent="0.25">
      <c r="A211" s="26" t="str">
        <f>IF(K211="","",MAX(A$2:A210)+1)</f>
        <v/>
      </c>
      <c r="B211" s="205"/>
      <c r="C211" s="152" t="s">
        <v>241</v>
      </c>
      <c r="D211" s="149"/>
      <c r="E211" s="153"/>
      <c r="F211" s="153"/>
      <c r="G211" s="153"/>
      <c r="H211" s="154"/>
      <c r="I211" s="153"/>
      <c r="J211" s="155"/>
      <c r="K211" s="150"/>
      <c r="L211" s="118"/>
      <c r="M211" s="118"/>
      <c r="N211" s="17">
        <f t="shared" si="35"/>
        <v>0</v>
      </c>
      <c r="O211" s="156"/>
    </row>
    <row r="212" spans="1:15" s="119" customFormat="1" ht="13.15" hidden="1" customHeight="1" outlineLevel="1" x14ac:dyDescent="0.25">
      <c r="A212" s="26" t="str">
        <f>IF(K212="","",MAX(A$2:A211)+1)</f>
        <v/>
      </c>
      <c r="B212" s="205"/>
      <c r="C212" s="142" t="s">
        <v>253</v>
      </c>
      <c r="D212" s="149"/>
      <c r="E212" s="153"/>
      <c r="F212" s="153"/>
      <c r="G212" s="153"/>
      <c r="H212" s="154" t="s">
        <v>12</v>
      </c>
      <c r="I212" s="153">
        <f>4*1.3</f>
        <v>5.2</v>
      </c>
      <c r="J212" s="155"/>
      <c r="K212" s="150"/>
      <c r="L212" s="118"/>
      <c r="M212" s="118"/>
      <c r="N212" s="17">
        <f t="shared" si="35"/>
        <v>0</v>
      </c>
      <c r="O212" s="156"/>
    </row>
    <row r="213" spans="1:15" s="119" customFormat="1" ht="13.15" hidden="1" customHeight="1" outlineLevel="1" x14ac:dyDescent="0.25">
      <c r="A213" s="26" t="str">
        <f>IF(K213="","",MAX(A$2:A212)+1)</f>
        <v/>
      </c>
      <c r="B213" s="205"/>
      <c r="C213" s="142" t="s">
        <v>254</v>
      </c>
      <c r="D213" s="149"/>
      <c r="E213" s="153"/>
      <c r="F213" s="153"/>
      <c r="G213" s="153"/>
      <c r="H213" s="154" t="s">
        <v>12</v>
      </c>
      <c r="I213" s="153">
        <f>2*1.3</f>
        <v>2.6</v>
      </c>
      <c r="J213" s="155"/>
      <c r="K213" s="150"/>
      <c r="L213" s="118"/>
      <c r="M213" s="118"/>
      <c r="N213" s="17">
        <f t="shared" si="35"/>
        <v>0</v>
      </c>
      <c r="O213" s="156"/>
    </row>
    <row r="214" spans="1:15" s="119" customFormat="1" ht="13.15" hidden="1" customHeight="1" outlineLevel="1" x14ac:dyDescent="0.25">
      <c r="A214" s="26" t="str">
        <f>IF(K214="","",MAX(A$2:A213)+1)</f>
        <v/>
      </c>
      <c r="B214" s="205"/>
      <c r="C214" s="152" t="s">
        <v>177</v>
      </c>
      <c r="D214" s="149"/>
      <c r="E214" s="153"/>
      <c r="F214" s="153"/>
      <c r="G214" s="153"/>
      <c r="H214" s="154" t="s">
        <v>12</v>
      </c>
      <c r="I214" s="153" t="s">
        <v>172</v>
      </c>
      <c r="J214" s="155"/>
      <c r="K214" s="150"/>
      <c r="L214" s="118"/>
      <c r="M214" s="118"/>
      <c r="N214" s="17">
        <f t="shared" si="35"/>
        <v>0</v>
      </c>
      <c r="O214" s="156"/>
    </row>
    <row r="215" spans="1:15" ht="6" hidden="1" customHeight="1" outlineLevel="1" x14ac:dyDescent="0.25">
      <c r="A215" s="26" t="str">
        <f>IF(K215="","",MAX(A$2:A214)+1)</f>
        <v/>
      </c>
      <c r="B215" s="14"/>
      <c r="C215" s="24"/>
      <c r="D215" s="5"/>
      <c r="E215" s="46"/>
      <c r="F215" s="41"/>
      <c r="G215" s="41"/>
      <c r="H215" s="103"/>
      <c r="I215" s="41"/>
      <c r="J215" s="91"/>
      <c r="K215" s="88"/>
      <c r="L215" s="17"/>
      <c r="M215" s="17"/>
      <c r="N215" s="17">
        <f t="shared" si="35"/>
        <v>0</v>
      </c>
      <c r="O215" s="104"/>
    </row>
    <row r="216" spans="1:15" ht="13.15" hidden="1" customHeight="1" outlineLevel="1" x14ac:dyDescent="0.25">
      <c r="A216" s="26" t="str">
        <f>IF(K216="","",MAX(A$2:A215)+1)</f>
        <v/>
      </c>
      <c r="B216" s="14"/>
      <c r="C216" s="42"/>
      <c r="D216" s="5"/>
      <c r="E216" s="46"/>
      <c r="F216" s="41"/>
      <c r="G216" s="41"/>
      <c r="H216" s="103"/>
      <c r="I216" s="132">
        <f>SUM(I207:I214)</f>
        <v>13.950000000000001</v>
      </c>
      <c r="J216" s="91"/>
      <c r="K216" s="88"/>
      <c r="L216" s="17"/>
      <c r="M216" s="17"/>
      <c r="N216" s="17">
        <f t="shared" si="35"/>
        <v>0</v>
      </c>
      <c r="O216" s="104"/>
    </row>
    <row r="217" spans="1:15" ht="15" customHeight="1" collapsed="1" x14ac:dyDescent="0.25">
      <c r="A217" s="26">
        <f>IF(K217="","",MAX(A$2:A216)+1)</f>
        <v>36</v>
      </c>
      <c r="B217" s="14"/>
      <c r="C217" s="43" t="s">
        <v>322</v>
      </c>
      <c r="D217" s="5"/>
      <c r="E217" s="5"/>
      <c r="F217" s="5"/>
      <c r="G217" s="5"/>
      <c r="H217" s="125"/>
      <c r="I217" s="125"/>
      <c r="J217" s="88"/>
      <c r="K217" s="88" t="s">
        <v>27</v>
      </c>
      <c r="L217" s="17">
        <f>ROUNDUP(+I223,)</f>
        <v>6</v>
      </c>
      <c r="M217" s="17"/>
      <c r="N217" s="17">
        <f t="shared" si="35"/>
        <v>0</v>
      </c>
      <c r="O217" s="56"/>
    </row>
    <row r="218" spans="1:15" s="119" customFormat="1" ht="13.15" hidden="1" customHeight="1" outlineLevel="1" x14ac:dyDescent="0.25">
      <c r="A218" s="26" t="str">
        <f>IF(K218="","",MAX(A$2:A217)+1)</f>
        <v/>
      </c>
      <c r="B218" s="205"/>
      <c r="C218" s="152" t="s">
        <v>255</v>
      </c>
      <c r="D218" s="149"/>
      <c r="E218" s="153"/>
      <c r="F218" s="153"/>
      <c r="G218" s="153"/>
      <c r="H218" s="154" t="s">
        <v>12</v>
      </c>
      <c r="I218" s="153" t="s">
        <v>172</v>
      </c>
      <c r="J218" s="155"/>
      <c r="K218" s="150"/>
      <c r="L218" s="118"/>
      <c r="M218" s="118"/>
      <c r="N218" s="118">
        <f t="shared" ref="N218:N220" si="36">+M218*L218</f>
        <v>0</v>
      </c>
      <c r="O218" s="156"/>
    </row>
    <row r="219" spans="1:15" s="119" customFormat="1" ht="13.15" hidden="1" customHeight="1" outlineLevel="1" x14ac:dyDescent="0.25">
      <c r="A219" s="26" t="str">
        <f>IF(K219="","",MAX(A$2:A218)+1)</f>
        <v/>
      </c>
      <c r="B219" s="205"/>
      <c r="C219" s="152" t="s">
        <v>176</v>
      </c>
      <c r="D219" s="149"/>
      <c r="E219" s="153"/>
      <c r="F219" s="153"/>
      <c r="G219" s="153"/>
      <c r="H219" s="154" t="s">
        <v>12</v>
      </c>
      <c r="I219" s="153" t="s">
        <v>172</v>
      </c>
      <c r="J219" s="155"/>
      <c r="K219" s="150"/>
      <c r="L219" s="118"/>
      <c r="M219" s="118"/>
      <c r="N219" s="118">
        <f t="shared" si="36"/>
        <v>0</v>
      </c>
      <c r="O219" s="156"/>
    </row>
    <row r="220" spans="1:15" s="119" customFormat="1" ht="13.15" hidden="1" customHeight="1" outlineLevel="1" x14ac:dyDescent="0.25">
      <c r="A220" s="26" t="str">
        <f>IF(K220="","",MAX(A$2:A219)+1)</f>
        <v/>
      </c>
      <c r="B220" s="205"/>
      <c r="C220" s="152" t="s">
        <v>241</v>
      </c>
      <c r="D220" s="149"/>
      <c r="E220" s="153"/>
      <c r="F220" s="153"/>
      <c r="G220" s="153"/>
      <c r="H220" s="154" t="s">
        <v>12</v>
      </c>
      <c r="I220" s="153" t="s">
        <v>172</v>
      </c>
      <c r="J220" s="155"/>
      <c r="K220" s="150"/>
      <c r="L220" s="118"/>
      <c r="M220" s="118"/>
      <c r="N220" s="118">
        <f t="shared" si="36"/>
        <v>0</v>
      </c>
      <c r="O220" s="156"/>
    </row>
    <row r="221" spans="1:15" s="119" customFormat="1" ht="13.15" hidden="1" customHeight="1" outlineLevel="1" x14ac:dyDescent="0.25">
      <c r="A221" s="26" t="str">
        <f>IF(K221="","",MAX(A$2:A220)+1)</f>
        <v/>
      </c>
      <c r="B221" s="205"/>
      <c r="C221" s="152" t="s">
        <v>324</v>
      </c>
      <c r="D221" s="149"/>
      <c r="E221" s="153"/>
      <c r="F221" s="153"/>
      <c r="G221" s="153"/>
      <c r="H221" s="154" t="s">
        <v>12</v>
      </c>
      <c r="I221" s="153">
        <f>4+1.8</f>
        <v>5.8</v>
      </c>
      <c r="J221" s="155"/>
      <c r="K221" s="150"/>
      <c r="L221" s="118"/>
      <c r="M221" s="118"/>
      <c r="N221" s="118">
        <f t="shared" ref="N221" si="37">+M221*L221</f>
        <v>0</v>
      </c>
      <c r="O221" s="156"/>
    </row>
    <row r="222" spans="1:15" ht="6" hidden="1" customHeight="1" outlineLevel="1" x14ac:dyDescent="0.25">
      <c r="A222" s="26" t="str">
        <f>IF(K222="","",MAX(A$2:A221)+1)</f>
        <v/>
      </c>
      <c r="B222" s="14"/>
      <c r="C222" s="24"/>
      <c r="D222" s="5"/>
      <c r="E222" s="46"/>
      <c r="F222" s="41"/>
      <c r="G222" s="41"/>
      <c r="H222" s="103"/>
      <c r="I222" s="41"/>
      <c r="J222" s="91"/>
      <c r="K222" s="88"/>
      <c r="L222" s="17"/>
      <c r="M222" s="17"/>
      <c r="N222" s="17"/>
      <c r="O222" s="104"/>
    </row>
    <row r="223" spans="1:15" ht="13.15" hidden="1" customHeight="1" outlineLevel="1" x14ac:dyDescent="0.25">
      <c r="A223" s="26" t="str">
        <f>IF(K223="","",MAX(A$2:A222)+1)</f>
        <v/>
      </c>
      <c r="B223" s="14"/>
      <c r="C223" s="42"/>
      <c r="D223" s="5"/>
      <c r="E223" s="46"/>
      <c r="F223" s="41"/>
      <c r="G223" s="41"/>
      <c r="H223" s="103"/>
      <c r="I223" s="132">
        <f>SUM(I218:I221)</f>
        <v>5.8</v>
      </c>
      <c r="J223" s="91"/>
      <c r="K223" s="88"/>
      <c r="L223" s="17"/>
      <c r="M223" s="17"/>
      <c r="N223" s="17">
        <f t="shared" ref="N223" si="38">+M223*L223</f>
        <v>0</v>
      </c>
      <c r="O223" s="104"/>
    </row>
    <row r="224" spans="1:15" ht="15" customHeight="1" x14ac:dyDescent="0.25">
      <c r="A224" s="26" t="str">
        <f>IF(K224="","",MAX(A$2:A223)+1)</f>
        <v/>
      </c>
      <c r="B224" s="14"/>
      <c r="C224" s="21"/>
      <c r="D224" s="5"/>
      <c r="E224" s="5"/>
      <c r="F224" s="5"/>
      <c r="G224" s="5"/>
      <c r="H224" s="5"/>
      <c r="I224" s="5"/>
      <c r="J224" s="88"/>
      <c r="K224" s="88"/>
      <c r="L224" s="17"/>
      <c r="M224" s="17"/>
      <c r="N224" s="17">
        <f t="shared" ref="N224" si="39">+M224*L224</f>
        <v>0</v>
      </c>
      <c r="O224" s="56"/>
    </row>
    <row r="225" spans="1:15" ht="15" customHeight="1" x14ac:dyDescent="0.25">
      <c r="A225" s="26" t="str">
        <f>IF(K225="","",MAX(A$2:A224)+1)</f>
        <v/>
      </c>
      <c r="B225" s="14" t="s">
        <v>378</v>
      </c>
      <c r="C225" s="21" t="s">
        <v>344</v>
      </c>
      <c r="D225" s="5"/>
      <c r="E225" s="5"/>
      <c r="F225" s="5"/>
      <c r="G225" s="5"/>
      <c r="H225" s="5"/>
      <c r="I225" s="5"/>
      <c r="J225" s="88"/>
      <c r="K225" s="88"/>
      <c r="L225" s="17"/>
      <c r="M225" s="17"/>
      <c r="N225" s="17">
        <f>+M225*L225</f>
        <v>0</v>
      </c>
      <c r="O225" s="56"/>
    </row>
    <row r="226" spans="1:15" ht="15" customHeight="1" x14ac:dyDescent="0.25">
      <c r="A226" s="26" t="str">
        <f>IF(K226="","",MAX(A$2:A225)+1)</f>
        <v/>
      </c>
      <c r="B226" s="14"/>
      <c r="C226" s="84" t="s">
        <v>52</v>
      </c>
      <c r="D226" s="48"/>
      <c r="E226" s="48"/>
      <c r="F226" s="48"/>
      <c r="G226" s="48"/>
      <c r="H226" s="48"/>
      <c r="I226" s="48"/>
      <c r="J226" s="111"/>
      <c r="K226" s="88"/>
      <c r="L226" s="17"/>
      <c r="M226" s="17"/>
      <c r="N226" s="17">
        <f>+M226*L226</f>
        <v>0</v>
      </c>
      <c r="O226" s="56"/>
    </row>
    <row r="227" spans="1:15" ht="15" customHeight="1" collapsed="1" x14ac:dyDescent="0.25">
      <c r="A227" s="26">
        <f>IF(K227="","",MAX(A$2:A226)+1)</f>
        <v>37</v>
      </c>
      <c r="B227" s="14"/>
      <c r="C227" s="43" t="s">
        <v>50</v>
      </c>
      <c r="D227" s="5"/>
      <c r="E227" s="5"/>
      <c r="F227" s="5"/>
      <c r="G227" s="5"/>
      <c r="H227" s="5"/>
      <c r="I227" s="5"/>
      <c r="J227" s="88"/>
      <c r="K227" s="88" t="s">
        <v>15</v>
      </c>
      <c r="L227" s="54">
        <f>I241</f>
        <v>15</v>
      </c>
      <c r="M227" s="17"/>
      <c r="N227" s="17">
        <f>+M227*L227</f>
        <v>0</v>
      </c>
      <c r="O227" s="56"/>
    </row>
    <row r="228" spans="1:15" s="119" customFormat="1" ht="13.15" hidden="1" customHeight="1" outlineLevel="1" x14ac:dyDescent="0.25">
      <c r="A228" s="26" t="str">
        <f>IF(K228="","",MAX(A$2:A227)+1)</f>
        <v/>
      </c>
      <c r="B228" s="205"/>
      <c r="C228" s="152" t="s">
        <v>115</v>
      </c>
      <c r="D228" s="149"/>
      <c r="E228" s="149"/>
      <c r="F228" s="149"/>
      <c r="G228" s="149"/>
      <c r="H228" s="149" t="s">
        <v>12</v>
      </c>
      <c r="I228" s="149">
        <v>1</v>
      </c>
      <c r="J228" s="150"/>
      <c r="K228" s="150"/>
      <c r="L228" s="175"/>
      <c r="M228" s="118"/>
      <c r="N228" s="118"/>
      <c r="O228" s="151"/>
    </row>
    <row r="229" spans="1:15" s="119" customFormat="1" ht="13.15" hidden="1" customHeight="1" outlineLevel="1" x14ac:dyDescent="0.25">
      <c r="A229" s="26" t="str">
        <f>IF(K229="","",MAX(A$2:A228)+1)</f>
        <v/>
      </c>
      <c r="B229" s="205"/>
      <c r="C229" s="152" t="s">
        <v>116</v>
      </c>
      <c r="D229" s="149"/>
      <c r="E229" s="149"/>
      <c r="F229" s="149"/>
      <c r="G229" s="149"/>
      <c r="H229" s="149" t="s">
        <v>12</v>
      </c>
      <c r="I229" s="149">
        <v>1</v>
      </c>
      <c r="J229" s="150"/>
      <c r="K229" s="150"/>
      <c r="L229" s="175"/>
      <c r="M229" s="118"/>
      <c r="N229" s="118"/>
      <c r="O229" s="151"/>
    </row>
    <row r="230" spans="1:15" s="119" customFormat="1" ht="13.15" hidden="1" customHeight="1" outlineLevel="1" x14ac:dyDescent="0.25">
      <c r="A230" s="26" t="str">
        <f>IF(K230="","",MAX(A$2:A229)+1)</f>
        <v/>
      </c>
      <c r="B230" s="205"/>
      <c r="C230" s="152" t="s">
        <v>117</v>
      </c>
      <c r="D230" s="149"/>
      <c r="E230" s="149"/>
      <c r="F230" s="149"/>
      <c r="G230" s="149"/>
      <c r="H230" s="149" t="s">
        <v>12</v>
      </c>
      <c r="I230" s="149">
        <v>1</v>
      </c>
      <c r="J230" s="150"/>
      <c r="K230" s="150"/>
      <c r="L230" s="175"/>
      <c r="M230" s="118"/>
      <c r="N230" s="118"/>
      <c r="O230" s="151"/>
    </row>
    <row r="231" spans="1:15" s="119" customFormat="1" ht="13.15" hidden="1" customHeight="1" outlineLevel="1" x14ac:dyDescent="0.25">
      <c r="A231" s="26" t="str">
        <f>IF(K231="","",MAX(A$2:A230)+1)</f>
        <v/>
      </c>
      <c r="B231" s="205"/>
      <c r="C231" s="152" t="s">
        <v>118</v>
      </c>
      <c r="D231" s="149"/>
      <c r="E231" s="149"/>
      <c r="F231" s="149"/>
      <c r="G231" s="149"/>
      <c r="H231" s="149" t="s">
        <v>12</v>
      </c>
      <c r="I231" s="149">
        <v>1</v>
      </c>
      <c r="J231" s="150"/>
      <c r="K231" s="150"/>
      <c r="L231" s="175"/>
      <c r="M231" s="118"/>
      <c r="N231" s="118"/>
      <c r="O231" s="151"/>
    </row>
    <row r="232" spans="1:15" s="119" customFormat="1" ht="13.15" hidden="1" customHeight="1" outlineLevel="1" x14ac:dyDescent="0.25">
      <c r="A232" s="26" t="str">
        <f>IF(K232="","",MAX(A$2:A231)+1)</f>
        <v/>
      </c>
      <c r="B232" s="205"/>
      <c r="C232" s="152" t="s">
        <v>119</v>
      </c>
      <c r="D232" s="149"/>
      <c r="E232" s="149"/>
      <c r="F232" s="149"/>
      <c r="G232" s="149"/>
      <c r="H232" s="149" t="s">
        <v>12</v>
      </c>
      <c r="I232" s="149">
        <v>2</v>
      </c>
      <c r="J232" s="150"/>
      <c r="K232" s="150"/>
      <c r="L232" s="175"/>
      <c r="M232" s="118"/>
      <c r="N232" s="118"/>
      <c r="O232" s="151"/>
    </row>
    <row r="233" spans="1:15" s="119" customFormat="1" ht="13.15" hidden="1" customHeight="1" outlineLevel="1" x14ac:dyDescent="0.25">
      <c r="A233" s="26" t="str">
        <f>IF(K233="","",MAX(A$2:A232)+1)</f>
        <v/>
      </c>
      <c r="B233" s="205"/>
      <c r="C233" s="152" t="s">
        <v>120</v>
      </c>
      <c r="D233" s="149"/>
      <c r="E233" s="149"/>
      <c r="F233" s="149"/>
      <c r="G233" s="149"/>
      <c r="H233" s="149" t="s">
        <v>12</v>
      </c>
      <c r="I233" s="149">
        <v>1</v>
      </c>
      <c r="J233" s="150"/>
      <c r="K233" s="150"/>
      <c r="L233" s="175"/>
      <c r="M233" s="118"/>
      <c r="N233" s="118"/>
      <c r="O233" s="151"/>
    </row>
    <row r="234" spans="1:15" s="119" customFormat="1" ht="13.15" hidden="1" customHeight="1" outlineLevel="1" x14ac:dyDescent="0.25">
      <c r="A234" s="26" t="str">
        <f>IF(K234="","",MAX(A$2:A233)+1)</f>
        <v/>
      </c>
      <c r="B234" s="205"/>
      <c r="C234" s="152" t="s">
        <v>169</v>
      </c>
      <c r="D234" s="149"/>
      <c r="E234" s="149"/>
      <c r="F234" s="149"/>
      <c r="G234" s="149"/>
      <c r="H234" s="149" t="s">
        <v>12</v>
      </c>
      <c r="I234" s="149">
        <v>1</v>
      </c>
      <c r="J234" s="150"/>
      <c r="K234" s="150"/>
      <c r="L234" s="175"/>
      <c r="M234" s="118"/>
      <c r="N234" s="118"/>
      <c r="O234" s="151"/>
    </row>
    <row r="235" spans="1:15" s="119" customFormat="1" ht="13.15" hidden="1" customHeight="1" outlineLevel="1" x14ac:dyDescent="0.25">
      <c r="A235" s="26" t="str">
        <f>IF(K235="","",MAX(A$2:A234)+1)</f>
        <v/>
      </c>
      <c r="B235" s="205"/>
      <c r="C235" s="152" t="s">
        <v>170</v>
      </c>
      <c r="D235" s="149"/>
      <c r="E235" s="149"/>
      <c r="F235" s="149"/>
      <c r="G235" s="149"/>
      <c r="H235" s="149" t="s">
        <v>12</v>
      </c>
      <c r="I235" s="149">
        <v>1</v>
      </c>
      <c r="J235" s="150"/>
      <c r="K235" s="150"/>
      <c r="L235" s="175"/>
      <c r="M235" s="118"/>
      <c r="N235" s="118"/>
      <c r="O235" s="151"/>
    </row>
    <row r="236" spans="1:15" s="119" customFormat="1" ht="13.15" hidden="1" customHeight="1" outlineLevel="1" x14ac:dyDescent="0.25">
      <c r="A236" s="26" t="str">
        <f>IF(K236="","",MAX(A$2:A235)+1)</f>
        <v/>
      </c>
      <c r="B236" s="205"/>
      <c r="C236" s="152" t="s">
        <v>171</v>
      </c>
      <c r="D236" s="149"/>
      <c r="E236" s="149"/>
      <c r="F236" s="149"/>
      <c r="G236" s="149"/>
      <c r="H236" s="149" t="s">
        <v>12</v>
      </c>
      <c r="I236" s="149">
        <v>1</v>
      </c>
      <c r="J236" s="150"/>
      <c r="K236" s="150"/>
      <c r="L236" s="175"/>
      <c r="M236" s="118"/>
      <c r="N236" s="118"/>
      <c r="O236" s="151"/>
    </row>
    <row r="237" spans="1:15" s="119" customFormat="1" ht="13.15" hidden="1" customHeight="1" outlineLevel="1" x14ac:dyDescent="0.25">
      <c r="A237" s="26" t="str">
        <f>IF(K237="","",MAX(A$2:A236)+1)</f>
        <v/>
      </c>
      <c r="B237" s="205"/>
      <c r="C237" s="152" t="s">
        <v>173</v>
      </c>
      <c r="D237" s="149"/>
      <c r="E237" s="149"/>
      <c r="F237" s="149"/>
      <c r="G237" s="149"/>
      <c r="H237" s="149" t="s">
        <v>12</v>
      </c>
      <c r="I237" s="149">
        <v>1</v>
      </c>
      <c r="J237" s="150"/>
      <c r="K237" s="150"/>
      <c r="L237" s="175"/>
      <c r="M237" s="118"/>
      <c r="N237" s="118"/>
      <c r="O237" s="151"/>
    </row>
    <row r="238" spans="1:15" s="119" customFormat="1" ht="13.15" hidden="1" customHeight="1" outlineLevel="1" x14ac:dyDescent="0.25">
      <c r="A238" s="26" t="str">
        <f>IF(K238="","",MAX(A$2:A237)+1)</f>
        <v/>
      </c>
      <c r="B238" s="205"/>
      <c r="C238" s="152" t="s">
        <v>174</v>
      </c>
      <c r="D238" s="149"/>
      <c r="E238" s="149"/>
      <c r="F238" s="149"/>
      <c r="G238" s="149"/>
      <c r="H238" s="149" t="s">
        <v>12</v>
      </c>
      <c r="I238" s="149">
        <v>1</v>
      </c>
      <c r="J238" s="150"/>
      <c r="K238" s="150"/>
      <c r="L238" s="175"/>
      <c r="M238" s="118"/>
      <c r="N238" s="118"/>
      <c r="O238" s="151"/>
    </row>
    <row r="239" spans="1:15" s="119" customFormat="1" ht="13.15" hidden="1" customHeight="1" outlineLevel="1" x14ac:dyDescent="0.25">
      <c r="A239" s="26" t="str">
        <f>IF(K239="","",MAX(A$2:A238)+1)</f>
        <v/>
      </c>
      <c r="B239" s="205"/>
      <c r="C239" s="152" t="s">
        <v>221</v>
      </c>
      <c r="D239" s="149"/>
      <c r="E239" s="149"/>
      <c r="F239" s="149"/>
      <c r="G239" s="149"/>
      <c r="H239" s="149" t="s">
        <v>12</v>
      </c>
      <c r="I239" s="149">
        <v>1</v>
      </c>
      <c r="J239" s="150"/>
      <c r="K239" s="150"/>
      <c r="L239" s="175"/>
      <c r="M239" s="118"/>
      <c r="N239" s="118"/>
      <c r="O239" s="151"/>
    </row>
    <row r="240" spans="1:15" s="119" customFormat="1" ht="13.15" hidden="1" customHeight="1" outlineLevel="1" x14ac:dyDescent="0.25">
      <c r="A240" s="26" t="str">
        <f>IF(K240="","",MAX(A$2:A239)+1)</f>
        <v/>
      </c>
      <c r="B240" s="205"/>
      <c r="C240" s="152" t="s">
        <v>222</v>
      </c>
      <c r="D240" s="149"/>
      <c r="E240" s="149"/>
      <c r="F240" s="149"/>
      <c r="G240" s="149"/>
      <c r="H240" s="149" t="s">
        <v>12</v>
      </c>
      <c r="I240" s="149">
        <v>2</v>
      </c>
      <c r="J240" s="150"/>
      <c r="K240" s="150"/>
      <c r="L240" s="175"/>
      <c r="M240" s="118"/>
      <c r="N240" s="118"/>
      <c r="O240" s="151"/>
    </row>
    <row r="241" spans="1:15" s="119" customFormat="1" ht="13.15" hidden="1" customHeight="1" outlineLevel="1" x14ac:dyDescent="0.25">
      <c r="A241" s="26" t="str">
        <f>IF(K241="","",MAX(A$2:A240)+1)</f>
        <v/>
      </c>
      <c r="B241" s="205"/>
      <c r="C241" s="152"/>
      <c r="D241" s="149"/>
      <c r="E241" s="149"/>
      <c r="F241" s="149"/>
      <c r="G241" s="149"/>
      <c r="H241" s="149"/>
      <c r="I241" s="204">
        <f>SUM(I228:I240)</f>
        <v>15</v>
      </c>
      <c r="J241" s="150"/>
      <c r="K241" s="150"/>
      <c r="L241" s="175"/>
      <c r="M241" s="118"/>
      <c r="N241" s="118"/>
      <c r="O241" s="151"/>
    </row>
    <row r="242" spans="1:15" ht="15" customHeight="1" collapsed="1" x14ac:dyDescent="0.25">
      <c r="A242" s="26">
        <f>IF(K242="","",MAX(A$2:A241)+1)</f>
        <v>38</v>
      </c>
      <c r="B242" s="14"/>
      <c r="C242" s="43" t="s">
        <v>53</v>
      </c>
      <c r="D242" s="5"/>
      <c r="E242" s="5"/>
      <c r="F242" s="5"/>
      <c r="G242" s="5"/>
      <c r="H242" s="5"/>
      <c r="I242" s="5"/>
      <c r="J242" s="88"/>
      <c r="K242" s="88" t="s">
        <v>15</v>
      </c>
      <c r="L242" s="54">
        <f>I256</f>
        <v>14</v>
      </c>
      <c r="M242" s="17"/>
      <c r="N242" s="17">
        <f>+M242*L242</f>
        <v>0</v>
      </c>
      <c r="O242" s="56"/>
    </row>
    <row r="243" spans="1:15" s="119" customFormat="1" ht="13.15" hidden="1" customHeight="1" outlineLevel="1" x14ac:dyDescent="0.25">
      <c r="A243" s="26" t="str">
        <f>IF(K243="","",MAX(A$2:A242)+1)</f>
        <v/>
      </c>
      <c r="B243" s="205"/>
      <c r="C243" s="152" t="s">
        <v>115</v>
      </c>
      <c r="D243" s="149"/>
      <c r="E243" s="149"/>
      <c r="F243" s="149"/>
      <c r="G243" s="149"/>
      <c r="H243" s="149" t="s">
        <v>12</v>
      </c>
      <c r="I243" s="149">
        <v>1</v>
      </c>
      <c r="J243" s="150"/>
      <c r="K243" s="150"/>
      <c r="L243" s="175"/>
      <c r="M243" s="118"/>
      <c r="N243" s="118"/>
      <c r="O243" s="151"/>
    </row>
    <row r="244" spans="1:15" s="119" customFormat="1" ht="13.15" hidden="1" customHeight="1" outlineLevel="1" x14ac:dyDescent="0.25">
      <c r="A244" s="26" t="str">
        <f>IF(K244="","",MAX(A$2:A243)+1)</f>
        <v/>
      </c>
      <c r="B244" s="205"/>
      <c r="C244" s="152" t="s">
        <v>116</v>
      </c>
      <c r="D244" s="149"/>
      <c r="E244" s="149"/>
      <c r="F244" s="149"/>
      <c r="G244" s="149"/>
      <c r="H244" s="149" t="s">
        <v>12</v>
      </c>
      <c r="I244" s="149">
        <v>1</v>
      </c>
      <c r="J244" s="150"/>
      <c r="K244" s="150"/>
      <c r="L244" s="175"/>
      <c r="M244" s="118"/>
      <c r="N244" s="118"/>
      <c r="O244" s="151"/>
    </row>
    <row r="245" spans="1:15" s="119" customFormat="1" ht="13.15" hidden="1" customHeight="1" outlineLevel="1" x14ac:dyDescent="0.25">
      <c r="A245" s="26" t="str">
        <f>IF(K245="","",MAX(A$2:A244)+1)</f>
        <v/>
      </c>
      <c r="B245" s="205"/>
      <c r="C245" s="152" t="s">
        <v>117</v>
      </c>
      <c r="D245" s="149"/>
      <c r="E245" s="149"/>
      <c r="F245" s="149"/>
      <c r="G245" s="149"/>
      <c r="H245" s="149" t="s">
        <v>12</v>
      </c>
      <c r="I245" s="149">
        <v>1</v>
      </c>
      <c r="J245" s="150"/>
      <c r="K245" s="150"/>
      <c r="L245" s="175"/>
      <c r="M245" s="118"/>
      <c r="N245" s="118"/>
      <c r="O245" s="151"/>
    </row>
    <row r="246" spans="1:15" s="119" customFormat="1" ht="13.15" hidden="1" customHeight="1" outlineLevel="1" x14ac:dyDescent="0.25">
      <c r="A246" s="26" t="str">
        <f>IF(K246="","",MAX(A$2:A245)+1)</f>
        <v/>
      </c>
      <c r="B246" s="205"/>
      <c r="C246" s="152" t="s">
        <v>118</v>
      </c>
      <c r="D246" s="149"/>
      <c r="E246" s="149"/>
      <c r="F246" s="149"/>
      <c r="G246" s="149"/>
      <c r="H246" s="149" t="s">
        <v>12</v>
      </c>
      <c r="I246" s="149">
        <v>1</v>
      </c>
      <c r="J246" s="150"/>
      <c r="K246" s="150"/>
      <c r="L246" s="175"/>
      <c r="M246" s="118"/>
      <c r="N246" s="118"/>
      <c r="O246" s="151"/>
    </row>
    <row r="247" spans="1:15" s="119" customFormat="1" ht="13.15" hidden="1" customHeight="1" outlineLevel="1" x14ac:dyDescent="0.25">
      <c r="A247" s="26" t="str">
        <f>IF(K247="","",MAX(A$2:A246)+1)</f>
        <v/>
      </c>
      <c r="B247" s="205"/>
      <c r="C247" s="152" t="s">
        <v>119</v>
      </c>
      <c r="D247" s="149"/>
      <c r="E247" s="149"/>
      <c r="F247" s="149"/>
      <c r="G247" s="149"/>
      <c r="H247" s="149" t="s">
        <v>12</v>
      </c>
      <c r="I247" s="149">
        <v>1</v>
      </c>
      <c r="J247" s="150"/>
      <c r="K247" s="150"/>
      <c r="L247" s="175"/>
      <c r="M247" s="118"/>
      <c r="N247" s="118"/>
      <c r="O247" s="151"/>
    </row>
    <row r="248" spans="1:15" s="119" customFormat="1" ht="13.15" hidden="1" customHeight="1" outlineLevel="1" x14ac:dyDescent="0.25">
      <c r="A248" s="26" t="str">
        <f>IF(K248="","",MAX(A$2:A247)+1)</f>
        <v/>
      </c>
      <c r="B248" s="205"/>
      <c r="C248" s="152" t="s">
        <v>120</v>
      </c>
      <c r="D248" s="149"/>
      <c r="E248" s="149"/>
      <c r="F248" s="149"/>
      <c r="G248" s="149"/>
      <c r="H248" s="149" t="s">
        <v>12</v>
      </c>
      <c r="I248" s="149">
        <v>1</v>
      </c>
      <c r="J248" s="150"/>
      <c r="K248" s="150"/>
      <c r="L248" s="175"/>
      <c r="M248" s="118"/>
      <c r="N248" s="118"/>
      <c r="O248" s="151"/>
    </row>
    <row r="249" spans="1:15" s="119" customFormat="1" ht="13.15" hidden="1" customHeight="1" outlineLevel="1" x14ac:dyDescent="0.25">
      <c r="A249" s="26" t="str">
        <f>IF(K249="","",MAX(A$2:A248)+1)</f>
        <v/>
      </c>
      <c r="B249" s="205"/>
      <c r="C249" s="152" t="s">
        <v>169</v>
      </c>
      <c r="D249" s="149"/>
      <c r="E249" s="149"/>
      <c r="F249" s="149"/>
      <c r="G249" s="149"/>
      <c r="H249" s="149" t="s">
        <v>12</v>
      </c>
      <c r="I249" s="149">
        <v>1</v>
      </c>
      <c r="J249" s="150"/>
      <c r="K249" s="150"/>
      <c r="L249" s="175"/>
      <c r="M249" s="118"/>
      <c r="N249" s="118"/>
      <c r="O249" s="151"/>
    </row>
    <row r="250" spans="1:15" s="119" customFormat="1" ht="13.15" hidden="1" customHeight="1" outlineLevel="1" x14ac:dyDescent="0.25">
      <c r="A250" s="26" t="str">
        <f>IF(K250="","",MAX(A$2:A249)+1)</f>
        <v/>
      </c>
      <c r="B250" s="205"/>
      <c r="C250" s="152" t="s">
        <v>170</v>
      </c>
      <c r="D250" s="149"/>
      <c r="E250" s="149"/>
      <c r="F250" s="149"/>
      <c r="G250" s="149"/>
      <c r="H250" s="149" t="s">
        <v>12</v>
      </c>
      <c r="I250" s="149">
        <v>1</v>
      </c>
      <c r="J250" s="150"/>
      <c r="K250" s="150"/>
      <c r="L250" s="175"/>
      <c r="M250" s="118"/>
      <c r="N250" s="118"/>
      <c r="O250" s="151"/>
    </row>
    <row r="251" spans="1:15" s="119" customFormat="1" ht="13.15" hidden="1" customHeight="1" outlineLevel="1" x14ac:dyDescent="0.25">
      <c r="A251" s="26" t="str">
        <f>IF(K251="","",MAX(A$2:A250)+1)</f>
        <v/>
      </c>
      <c r="B251" s="205"/>
      <c r="C251" s="152" t="s">
        <v>171</v>
      </c>
      <c r="D251" s="149"/>
      <c r="E251" s="149"/>
      <c r="F251" s="149"/>
      <c r="G251" s="149"/>
      <c r="H251" s="149" t="s">
        <v>12</v>
      </c>
      <c r="I251" s="149">
        <v>1</v>
      </c>
      <c r="J251" s="150"/>
      <c r="K251" s="150"/>
      <c r="L251" s="175"/>
      <c r="M251" s="118"/>
      <c r="N251" s="118"/>
      <c r="O251" s="151"/>
    </row>
    <row r="252" spans="1:15" s="119" customFormat="1" ht="13.15" hidden="1" customHeight="1" outlineLevel="1" x14ac:dyDescent="0.25">
      <c r="A252" s="26" t="str">
        <f>IF(K252="","",MAX(A$2:A251)+1)</f>
        <v/>
      </c>
      <c r="B252" s="205"/>
      <c r="C252" s="152" t="s">
        <v>173</v>
      </c>
      <c r="D252" s="149"/>
      <c r="E252" s="149"/>
      <c r="F252" s="149"/>
      <c r="G252" s="149"/>
      <c r="H252" s="149" t="s">
        <v>12</v>
      </c>
      <c r="I252" s="149">
        <v>1</v>
      </c>
      <c r="J252" s="150"/>
      <c r="K252" s="150"/>
      <c r="L252" s="175"/>
      <c r="M252" s="118"/>
      <c r="N252" s="118"/>
      <c r="O252" s="151"/>
    </row>
    <row r="253" spans="1:15" s="119" customFormat="1" ht="13.15" hidden="1" customHeight="1" outlineLevel="1" x14ac:dyDescent="0.25">
      <c r="A253" s="26" t="str">
        <f>IF(K253="","",MAX(A$2:A252)+1)</f>
        <v/>
      </c>
      <c r="B253" s="205"/>
      <c r="C253" s="152" t="s">
        <v>174</v>
      </c>
      <c r="D253" s="149"/>
      <c r="E253" s="149"/>
      <c r="F253" s="149"/>
      <c r="G253" s="149"/>
      <c r="H253" s="149" t="s">
        <v>12</v>
      </c>
      <c r="I253" s="149">
        <v>1</v>
      </c>
      <c r="J253" s="150"/>
      <c r="K253" s="150"/>
      <c r="L253" s="175"/>
      <c r="M253" s="118"/>
      <c r="N253" s="118"/>
      <c r="O253" s="151"/>
    </row>
    <row r="254" spans="1:15" s="119" customFormat="1" ht="13.15" hidden="1" customHeight="1" outlineLevel="1" x14ac:dyDescent="0.25">
      <c r="A254" s="26" t="str">
        <f>IF(K254="","",MAX(A$2:A253)+1)</f>
        <v/>
      </c>
      <c r="B254" s="205"/>
      <c r="C254" s="152" t="s">
        <v>221</v>
      </c>
      <c r="D254" s="149"/>
      <c r="E254" s="149"/>
      <c r="F254" s="149"/>
      <c r="G254" s="149"/>
      <c r="H254" s="149" t="s">
        <v>12</v>
      </c>
      <c r="I254" s="149">
        <v>1</v>
      </c>
      <c r="J254" s="150"/>
      <c r="K254" s="150"/>
      <c r="L254" s="175"/>
      <c r="M254" s="118"/>
      <c r="N254" s="118"/>
      <c r="O254" s="151"/>
    </row>
    <row r="255" spans="1:15" s="119" customFormat="1" ht="13.15" hidden="1" customHeight="1" outlineLevel="1" x14ac:dyDescent="0.25">
      <c r="A255" s="26" t="str">
        <f>IF(K255="","",MAX(A$2:A254)+1)</f>
        <v/>
      </c>
      <c r="B255" s="205"/>
      <c r="C255" s="152" t="s">
        <v>222</v>
      </c>
      <c r="D255" s="149"/>
      <c r="E255" s="149"/>
      <c r="F255" s="149"/>
      <c r="G255" s="149"/>
      <c r="H255" s="149" t="s">
        <v>12</v>
      </c>
      <c r="I255" s="149">
        <v>2</v>
      </c>
      <c r="J255" s="150"/>
      <c r="K255" s="150"/>
      <c r="L255" s="175"/>
      <c r="M255" s="118"/>
      <c r="N255" s="118"/>
      <c r="O255" s="151"/>
    </row>
    <row r="256" spans="1:15" s="119" customFormat="1" ht="13.15" hidden="1" customHeight="1" outlineLevel="1" x14ac:dyDescent="0.25">
      <c r="A256" s="26" t="str">
        <f>IF(K256="","",MAX(A$2:A255)+1)</f>
        <v/>
      </c>
      <c r="B256" s="205"/>
      <c r="C256" s="152"/>
      <c r="D256" s="149"/>
      <c r="E256" s="149"/>
      <c r="F256" s="149"/>
      <c r="G256" s="149"/>
      <c r="H256" s="149"/>
      <c r="I256" s="204">
        <f>SUM(I243:I255)</f>
        <v>14</v>
      </c>
      <c r="J256" s="150"/>
      <c r="K256" s="150"/>
      <c r="L256" s="175"/>
      <c r="M256" s="118"/>
      <c r="N256" s="118"/>
      <c r="O256" s="151"/>
    </row>
    <row r="257" spans="1:20" ht="15" customHeight="1" collapsed="1" x14ac:dyDescent="0.25">
      <c r="A257" s="26">
        <f>IF(K257="","",MAX(A$2:A256)+1)</f>
        <v>39</v>
      </c>
      <c r="B257" s="14"/>
      <c r="C257" s="43" t="s">
        <v>62</v>
      </c>
      <c r="D257" s="5"/>
      <c r="E257" s="5"/>
      <c r="F257" s="5"/>
      <c r="G257" s="5"/>
      <c r="H257" s="5"/>
      <c r="I257" s="5"/>
      <c r="J257" s="88"/>
      <c r="K257" s="88" t="s">
        <v>27</v>
      </c>
      <c r="L257" s="17">
        <f>ROUNDUP(+I263,)</f>
        <v>71</v>
      </c>
      <c r="M257" s="17"/>
      <c r="N257" s="17">
        <f>+M257*L257</f>
        <v>0</v>
      </c>
      <c r="O257" s="56"/>
    </row>
    <row r="258" spans="1:20" s="119" customFormat="1" ht="13.15" hidden="1" customHeight="1" outlineLevel="1" x14ac:dyDescent="0.25">
      <c r="A258" s="26" t="str">
        <f>IF(K258="","",MAX(A$2:A257)+1)</f>
        <v/>
      </c>
      <c r="B258" s="205"/>
      <c r="C258" s="152" t="s">
        <v>342</v>
      </c>
      <c r="D258" s="149"/>
      <c r="E258" s="153"/>
      <c r="F258" s="153"/>
      <c r="G258" s="153"/>
      <c r="H258" s="154" t="s">
        <v>12</v>
      </c>
      <c r="I258" s="153">
        <v>24</v>
      </c>
      <c r="J258" s="155"/>
      <c r="K258" s="150"/>
      <c r="L258" s="118"/>
      <c r="M258" s="118"/>
      <c r="N258" s="118">
        <f>+M258*L258</f>
        <v>0</v>
      </c>
      <c r="O258" s="156"/>
    </row>
    <row r="259" spans="1:20" s="119" customFormat="1" ht="13.15" hidden="1" customHeight="1" outlineLevel="1" x14ac:dyDescent="0.25">
      <c r="A259" s="26" t="str">
        <f>IF(K259="","",MAX(A$2:A258)+1)</f>
        <v/>
      </c>
      <c r="B259" s="205"/>
      <c r="C259" s="152" t="s">
        <v>341</v>
      </c>
      <c r="D259" s="149"/>
      <c r="E259" s="153"/>
      <c r="F259" s="153"/>
      <c r="G259" s="153"/>
      <c r="H259" s="154" t="s">
        <v>12</v>
      </c>
      <c r="I259" s="153">
        <v>38</v>
      </c>
      <c r="J259" s="155"/>
      <c r="K259" s="150"/>
      <c r="L259" s="118"/>
      <c r="M259" s="118"/>
      <c r="N259" s="118">
        <f t="shared" ref="N259:N261" si="40">+M259*L259</f>
        <v>0</v>
      </c>
      <c r="O259" s="156"/>
    </row>
    <row r="260" spans="1:20" s="119" customFormat="1" ht="13.15" hidden="1" customHeight="1" outlineLevel="1" x14ac:dyDescent="0.25">
      <c r="A260" s="26" t="str">
        <f>IF(K260="","",MAX(A$2:A259)+1)</f>
        <v/>
      </c>
      <c r="B260" s="205"/>
      <c r="C260" s="152" t="s">
        <v>339</v>
      </c>
      <c r="D260" s="149"/>
      <c r="E260" s="153"/>
      <c r="F260" s="153"/>
      <c r="G260" s="153"/>
      <c r="H260" s="154" t="s">
        <v>12</v>
      </c>
      <c r="I260" s="153">
        <v>2</v>
      </c>
      <c r="J260" s="155"/>
      <c r="K260" s="150"/>
      <c r="L260" s="118"/>
      <c r="M260" s="118"/>
      <c r="N260" s="118">
        <f t="shared" si="40"/>
        <v>0</v>
      </c>
      <c r="O260" s="156"/>
    </row>
    <row r="261" spans="1:20" s="119" customFormat="1" ht="13.15" hidden="1" customHeight="1" outlineLevel="1" x14ac:dyDescent="0.25">
      <c r="A261" s="26" t="str">
        <f>IF(K261="","",MAX(A$2:A260)+1)</f>
        <v/>
      </c>
      <c r="B261" s="205"/>
      <c r="C261" s="152" t="s">
        <v>340</v>
      </c>
      <c r="D261" s="149"/>
      <c r="E261" s="153"/>
      <c r="F261" s="153"/>
      <c r="G261" s="153"/>
      <c r="H261" s="154" t="s">
        <v>12</v>
      </c>
      <c r="I261" s="153">
        <v>6.05</v>
      </c>
      <c r="J261" s="155"/>
      <c r="K261" s="150"/>
      <c r="L261" s="118"/>
      <c r="M261" s="118"/>
      <c r="N261" s="118">
        <f t="shared" si="40"/>
        <v>0</v>
      </c>
      <c r="O261" s="156"/>
    </row>
    <row r="262" spans="1:20" ht="6" hidden="1" customHeight="1" outlineLevel="1" x14ac:dyDescent="0.25">
      <c r="A262" s="26" t="str">
        <f>IF(K262="","",MAX(A$2:A261)+1)</f>
        <v/>
      </c>
      <c r="B262" s="14"/>
      <c r="C262" s="24"/>
      <c r="D262" s="5"/>
      <c r="E262" s="46"/>
      <c r="F262" s="41"/>
      <c r="G262" s="41"/>
      <c r="H262" s="103"/>
      <c r="I262" s="41"/>
      <c r="J262" s="91"/>
      <c r="K262" s="88"/>
      <c r="L262" s="17"/>
      <c r="M262" s="17"/>
      <c r="N262" s="17"/>
      <c r="O262" s="104"/>
    </row>
    <row r="263" spans="1:20" ht="12.6" hidden="1" customHeight="1" outlineLevel="1" x14ac:dyDescent="0.25">
      <c r="A263" s="26" t="str">
        <f>IF(K263="","",MAX(A$2:A262)+1)</f>
        <v/>
      </c>
      <c r="B263" s="14"/>
      <c r="C263" s="42"/>
      <c r="D263" s="5"/>
      <c r="E263" s="46"/>
      <c r="F263" s="41"/>
      <c r="G263" s="41"/>
      <c r="H263" s="103"/>
      <c r="I263" s="132">
        <f>SUM(I258:I261)</f>
        <v>70.05</v>
      </c>
      <c r="J263" s="91"/>
      <c r="K263" s="88"/>
      <c r="L263" s="17"/>
      <c r="M263" s="17"/>
      <c r="N263" s="17">
        <f t="shared" ref="N263" si="41">+M263*L263</f>
        <v>0</v>
      </c>
      <c r="O263" s="104"/>
    </row>
    <row r="264" spans="1:20" ht="15" customHeight="1" collapsed="1" x14ac:dyDescent="0.25">
      <c r="A264" s="26">
        <f>IF(K264="","",MAX(A$2:A263)+1)</f>
        <v>40</v>
      </c>
      <c r="B264" s="14"/>
      <c r="C264" s="43" t="s">
        <v>175</v>
      </c>
      <c r="D264" s="5"/>
      <c r="E264" s="5"/>
      <c r="F264" s="5"/>
      <c r="G264" s="5"/>
      <c r="H264" s="5"/>
      <c r="I264" s="5"/>
      <c r="J264" s="88"/>
      <c r="K264" s="88" t="s">
        <v>27</v>
      </c>
      <c r="L264" s="17">
        <f>ROUNDUP(+I270,)</f>
        <v>78</v>
      </c>
      <c r="M264" s="17"/>
      <c r="N264" s="17">
        <f>+M264*L264</f>
        <v>0</v>
      </c>
      <c r="P264" s="41"/>
      <c r="Q264" s="5"/>
      <c r="R264" s="5"/>
      <c r="S264" s="5"/>
      <c r="T264" s="41"/>
    </row>
    <row r="265" spans="1:20" s="119" customFormat="1" ht="13.15" hidden="1" customHeight="1" outlineLevel="1" x14ac:dyDescent="0.25">
      <c r="A265" s="26" t="str">
        <f>IF(K265="","",MAX(A$2:A264)+1)</f>
        <v/>
      </c>
      <c r="B265" s="205"/>
      <c r="C265" s="152" t="s">
        <v>342</v>
      </c>
      <c r="D265" s="149"/>
      <c r="E265" s="153"/>
      <c r="F265" s="153"/>
      <c r="G265" s="153"/>
      <c r="H265" s="154" t="s">
        <v>12</v>
      </c>
      <c r="I265" s="153">
        <v>31</v>
      </c>
      <c r="J265" s="155"/>
      <c r="K265" s="150"/>
      <c r="L265" s="118"/>
      <c r="M265" s="118"/>
      <c r="N265" s="118">
        <f>+M265*L265</f>
        <v>0</v>
      </c>
      <c r="O265" s="156"/>
    </row>
    <row r="266" spans="1:20" s="119" customFormat="1" ht="13.15" hidden="1" customHeight="1" outlineLevel="1" x14ac:dyDescent="0.25">
      <c r="A266" s="26" t="str">
        <f>IF(K266="","",MAX(A$2:A265)+1)</f>
        <v/>
      </c>
      <c r="B266" s="205"/>
      <c r="C266" s="152" t="s">
        <v>341</v>
      </c>
      <c r="D266" s="149"/>
      <c r="E266" s="153"/>
      <c r="F266" s="153"/>
      <c r="G266" s="153"/>
      <c r="H266" s="154" t="s">
        <v>12</v>
      </c>
      <c r="I266" s="153">
        <v>38</v>
      </c>
      <c r="J266" s="155"/>
      <c r="K266" s="150"/>
      <c r="L266" s="118"/>
      <c r="M266" s="118"/>
      <c r="N266" s="118">
        <f t="shared" ref="N266:N268" si="42">+M266*L266</f>
        <v>0</v>
      </c>
      <c r="O266" s="156"/>
    </row>
    <row r="267" spans="1:20" s="119" customFormat="1" ht="13.15" hidden="1" customHeight="1" outlineLevel="1" x14ac:dyDescent="0.25">
      <c r="A267" s="26" t="str">
        <f>IF(K267="","",MAX(A$2:A266)+1)</f>
        <v/>
      </c>
      <c r="B267" s="205"/>
      <c r="C267" s="152" t="s">
        <v>339</v>
      </c>
      <c r="D267" s="149"/>
      <c r="E267" s="153"/>
      <c r="F267" s="153"/>
      <c r="G267" s="153"/>
      <c r="H267" s="154" t="s">
        <v>12</v>
      </c>
      <c r="I267" s="153">
        <v>2</v>
      </c>
      <c r="J267" s="155"/>
      <c r="K267" s="150"/>
      <c r="L267" s="118"/>
      <c r="M267" s="118"/>
      <c r="N267" s="118">
        <f t="shared" si="42"/>
        <v>0</v>
      </c>
      <c r="O267" s="156"/>
    </row>
    <row r="268" spans="1:20" s="119" customFormat="1" ht="13.15" hidden="1" customHeight="1" outlineLevel="1" x14ac:dyDescent="0.25">
      <c r="A268" s="26" t="str">
        <f>IF(K268="","",MAX(A$2:A267)+1)</f>
        <v/>
      </c>
      <c r="B268" s="205"/>
      <c r="C268" s="152" t="s">
        <v>340</v>
      </c>
      <c r="D268" s="149"/>
      <c r="E268" s="153"/>
      <c r="F268" s="153"/>
      <c r="G268" s="153"/>
      <c r="H268" s="154" t="s">
        <v>12</v>
      </c>
      <c r="I268" s="153">
        <v>6.05</v>
      </c>
      <c r="J268" s="155"/>
      <c r="K268" s="150"/>
      <c r="L268" s="118"/>
      <c r="M268" s="118"/>
      <c r="N268" s="118">
        <f t="shared" si="42"/>
        <v>0</v>
      </c>
      <c r="O268" s="156"/>
    </row>
    <row r="269" spans="1:20" ht="6" hidden="1" customHeight="1" outlineLevel="1" x14ac:dyDescent="0.25">
      <c r="A269" s="26" t="str">
        <f>IF(K269="","",MAX(A$2:A268)+1)</f>
        <v/>
      </c>
      <c r="B269" s="14"/>
      <c r="C269" s="24"/>
      <c r="D269" s="5"/>
      <c r="E269" s="46"/>
      <c r="F269" s="41"/>
      <c r="G269" s="41"/>
      <c r="H269" s="103"/>
      <c r="I269" s="41"/>
      <c r="J269" s="91"/>
      <c r="K269" s="88"/>
      <c r="L269" s="17"/>
      <c r="M269" s="17"/>
      <c r="N269" s="17"/>
      <c r="O269" s="104"/>
    </row>
    <row r="270" spans="1:20" ht="13.15" hidden="1" customHeight="1" outlineLevel="1" x14ac:dyDescent="0.25">
      <c r="A270" s="26" t="str">
        <f>IF(K270="","",MAX(A$2:A269)+1)</f>
        <v/>
      </c>
      <c r="B270" s="14"/>
      <c r="C270" s="42"/>
      <c r="D270" s="5"/>
      <c r="E270" s="46"/>
      <c r="F270" s="41"/>
      <c r="G270" s="41"/>
      <c r="H270" s="103"/>
      <c r="I270" s="132">
        <f>SUM(I265:I268)</f>
        <v>77.05</v>
      </c>
      <c r="J270" s="91"/>
      <c r="K270" s="88"/>
      <c r="L270" s="17"/>
      <c r="M270" s="17"/>
      <c r="N270" s="17">
        <f t="shared" ref="N270" si="43">+M270*L270</f>
        <v>0</v>
      </c>
      <c r="O270" s="104"/>
    </row>
    <row r="271" spans="1:20" ht="15" customHeight="1" x14ac:dyDescent="0.25">
      <c r="A271" s="26" t="str">
        <f>IF(K271="","",MAX(A$2:A270)+1)</f>
        <v/>
      </c>
      <c r="B271" s="14"/>
      <c r="C271" s="43"/>
      <c r="D271" s="5"/>
      <c r="E271" s="5"/>
      <c r="F271" s="5"/>
      <c r="G271" s="5"/>
      <c r="H271" s="5"/>
      <c r="I271" s="5"/>
      <c r="J271" s="88"/>
      <c r="K271" s="88"/>
      <c r="L271" s="17"/>
      <c r="M271" s="17"/>
      <c r="N271" s="17">
        <f>+M271*L271</f>
        <v>0</v>
      </c>
      <c r="P271" s="41"/>
      <c r="Q271" s="5"/>
      <c r="R271" s="5"/>
      <c r="S271" s="5"/>
      <c r="T271" s="41"/>
    </row>
    <row r="272" spans="1:20" ht="15" customHeight="1" x14ac:dyDescent="0.25">
      <c r="A272" s="26" t="str">
        <f>IF(K272="","",MAX(A$2:A271)+1)</f>
        <v/>
      </c>
      <c r="B272" s="14" t="s">
        <v>379</v>
      </c>
      <c r="C272" s="21" t="s">
        <v>395</v>
      </c>
      <c r="D272" s="5"/>
      <c r="E272" s="5"/>
      <c r="F272" s="5"/>
      <c r="G272" s="5"/>
      <c r="H272" s="5"/>
      <c r="I272" s="5"/>
      <c r="J272" s="88"/>
      <c r="K272" s="88"/>
      <c r="L272" s="51"/>
      <c r="M272" s="17"/>
      <c r="N272" s="17">
        <f>+M272*L272</f>
        <v>0</v>
      </c>
      <c r="O272" s="56"/>
    </row>
    <row r="273" spans="1:15" ht="15" customHeight="1" x14ac:dyDescent="0.25">
      <c r="A273" s="26" t="str">
        <f>IF(K273="","",MAX(A$2:A272)+1)</f>
        <v/>
      </c>
      <c r="B273" s="14"/>
      <c r="C273" s="23" t="s">
        <v>396</v>
      </c>
      <c r="D273" s="5"/>
      <c r="E273" s="5"/>
      <c r="F273" s="5"/>
      <c r="G273" s="5"/>
      <c r="H273" s="5"/>
      <c r="I273" s="5"/>
      <c r="J273" s="88"/>
      <c r="K273" s="88"/>
      <c r="L273" s="51"/>
      <c r="M273" s="17"/>
      <c r="N273" s="17">
        <f>+M273*L273</f>
        <v>0</v>
      </c>
      <c r="O273" s="56"/>
    </row>
    <row r="274" spans="1:15" ht="15" customHeight="1" x14ac:dyDescent="0.25">
      <c r="A274" s="26">
        <f>IF(K274="","",MAX(A$2:A273)+1)</f>
        <v>41</v>
      </c>
      <c r="B274" s="14"/>
      <c r="C274" s="131" t="s">
        <v>400</v>
      </c>
      <c r="D274" s="43"/>
      <c r="E274" s="43"/>
      <c r="F274" s="43"/>
      <c r="G274" s="43"/>
      <c r="H274" s="43"/>
      <c r="I274" s="43"/>
      <c r="J274" s="115"/>
      <c r="K274" s="88" t="s">
        <v>15</v>
      </c>
      <c r="L274" s="54">
        <v>7</v>
      </c>
      <c r="M274" s="17"/>
      <c r="N274" s="17">
        <f t="shared" ref="N274" si="44">+M274*L274</f>
        <v>0</v>
      </c>
      <c r="O274" s="56"/>
    </row>
    <row r="275" spans="1:15" ht="15" customHeight="1" x14ac:dyDescent="0.25">
      <c r="A275" s="26">
        <f>IF(K275="","",MAX(A$2:A274)+1)</f>
        <v>42</v>
      </c>
      <c r="B275" s="14"/>
      <c r="C275" s="43" t="s">
        <v>397</v>
      </c>
      <c r="D275" s="139"/>
      <c r="E275" s="139"/>
      <c r="F275" s="139"/>
      <c r="G275" s="139"/>
      <c r="H275" s="139"/>
      <c r="I275" s="139"/>
      <c r="J275" s="189"/>
      <c r="K275" s="88" t="s">
        <v>15</v>
      </c>
      <c r="L275" s="54">
        <v>1</v>
      </c>
      <c r="M275" s="17"/>
      <c r="N275" s="17">
        <f t="shared" ref="N275" si="45">+M275*L275</f>
        <v>0</v>
      </c>
      <c r="O275" s="56"/>
    </row>
    <row r="276" spans="1:15" ht="15" customHeight="1" x14ac:dyDescent="0.25">
      <c r="A276" s="26" t="str">
        <f>IF(K276="","",MAX(A$2:A275)+1)</f>
        <v/>
      </c>
      <c r="B276" s="14"/>
      <c r="C276" s="43"/>
      <c r="D276" s="5"/>
      <c r="E276" s="5"/>
      <c r="F276" s="5"/>
      <c r="G276" s="5"/>
      <c r="H276" s="5"/>
      <c r="I276" s="5"/>
      <c r="J276" s="88"/>
      <c r="K276" s="88"/>
      <c r="L276" s="54"/>
      <c r="M276" s="17"/>
      <c r="N276" s="17"/>
      <c r="O276" s="56"/>
    </row>
    <row r="277" spans="1:15" ht="15" customHeight="1" x14ac:dyDescent="0.25">
      <c r="A277" s="26" t="str">
        <f>IF(K277="","",MAX(A$2:A276)+1)</f>
        <v/>
      </c>
      <c r="B277" s="14" t="s">
        <v>380</v>
      </c>
      <c r="C277" s="21" t="s">
        <v>440</v>
      </c>
      <c r="D277" s="5"/>
      <c r="E277" s="5"/>
      <c r="F277" s="5"/>
      <c r="G277" s="5"/>
      <c r="H277" s="5"/>
      <c r="I277" s="5"/>
      <c r="J277" s="88"/>
      <c r="K277" s="88"/>
      <c r="L277" s="51"/>
      <c r="M277" s="17"/>
      <c r="N277" s="17">
        <f>+M277*L277</f>
        <v>0</v>
      </c>
      <c r="O277" s="56"/>
    </row>
    <row r="278" spans="1:15" ht="15" customHeight="1" x14ac:dyDescent="0.25">
      <c r="A278" s="26" t="str">
        <f>IF(K278="","",MAX(A$2:A277)+1)</f>
        <v/>
      </c>
      <c r="B278" s="14"/>
      <c r="C278" s="23" t="s">
        <v>396</v>
      </c>
      <c r="D278" s="5"/>
      <c r="E278" s="5"/>
      <c r="F278" s="5"/>
      <c r="G278" s="5"/>
      <c r="H278" s="5"/>
      <c r="I278" s="5"/>
      <c r="J278" s="88"/>
      <c r="K278" s="88"/>
      <c r="L278" s="51"/>
      <c r="M278" s="17"/>
      <c r="N278" s="17">
        <f>+M278*L278</f>
        <v>0</v>
      </c>
      <c r="O278" s="56"/>
    </row>
    <row r="279" spans="1:15" ht="15" customHeight="1" x14ac:dyDescent="0.25">
      <c r="A279" s="26">
        <f>IF(K279="","",MAX(A$2:A278)+1)</f>
        <v>43</v>
      </c>
      <c r="B279" s="14"/>
      <c r="C279" s="131" t="s">
        <v>398</v>
      </c>
      <c r="D279" s="139"/>
      <c r="E279" s="139"/>
      <c r="F279" s="139"/>
      <c r="G279" s="139"/>
      <c r="H279" s="139"/>
      <c r="I279" s="139"/>
      <c r="J279" s="189"/>
      <c r="K279" s="88" t="s">
        <v>15</v>
      </c>
      <c r="L279" s="54">
        <v>4</v>
      </c>
      <c r="M279" s="17"/>
      <c r="N279" s="17">
        <f t="shared" ref="N279" si="46">+M279*L279</f>
        <v>0</v>
      </c>
      <c r="O279" s="56"/>
    </row>
    <row r="280" spans="1:15" ht="15" customHeight="1" x14ac:dyDescent="0.25">
      <c r="A280" s="26">
        <f>IF(K280="","",MAX(A$2:A279)+1)</f>
        <v>44</v>
      </c>
      <c r="B280" s="14"/>
      <c r="C280" s="131" t="s">
        <v>399</v>
      </c>
      <c r="D280" s="139"/>
      <c r="E280" s="139"/>
      <c r="F280" s="139"/>
      <c r="G280" s="139"/>
      <c r="H280" s="139"/>
      <c r="I280" s="139"/>
      <c r="J280" s="189"/>
      <c r="K280" s="88" t="s">
        <v>15</v>
      </c>
      <c r="L280" s="54">
        <v>4</v>
      </c>
      <c r="M280" s="17"/>
      <c r="N280" s="17">
        <f t="shared" ref="N280" si="47">+M280*L280</f>
        <v>0</v>
      </c>
      <c r="O280" s="56"/>
    </row>
    <row r="281" spans="1:15" ht="15" customHeight="1" x14ac:dyDescent="0.25">
      <c r="A281" s="26" t="str">
        <f>IF(K281="","",MAX(A$2:A280)+1)</f>
        <v/>
      </c>
      <c r="B281" s="14"/>
      <c r="C281" s="42"/>
      <c r="D281" s="139"/>
      <c r="E281" s="139"/>
      <c r="F281" s="139"/>
      <c r="G281" s="139"/>
      <c r="H281" s="139"/>
      <c r="I281" s="139"/>
      <c r="J281" s="189"/>
      <c r="K281" s="88"/>
      <c r="L281" s="54"/>
      <c r="M281" s="17"/>
      <c r="N281" s="17"/>
      <c r="O281" s="56"/>
    </row>
    <row r="282" spans="1:15" ht="15" customHeight="1" x14ac:dyDescent="0.25">
      <c r="A282" s="26" t="str">
        <f>IF(K282="","",MAX(A$2:A281)+1)</f>
        <v/>
      </c>
      <c r="B282" s="14" t="s">
        <v>401</v>
      </c>
      <c r="C282" s="21" t="s">
        <v>430</v>
      </c>
      <c r="D282" s="5"/>
      <c r="E282" s="5"/>
      <c r="F282" s="5"/>
      <c r="G282" s="5"/>
      <c r="H282" s="5"/>
      <c r="I282" s="5"/>
      <c r="J282" s="88"/>
      <c r="K282" s="88"/>
      <c r="L282" s="17"/>
      <c r="M282" s="17"/>
      <c r="N282" s="17">
        <f t="shared" ref="N282:N287" si="48">+M282*L282</f>
        <v>0</v>
      </c>
      <c r="O282" s="56"/>
    </row>
    <row r="283" spans="1:15" ht="15" customHeight="1" x14ac:dyDescent="0.25">
      <c r="A283" s="26" t="str">
        <f>IF(K283="","",MAX(A$2:A282)+1)</f>
        <v/>
      </c>
      <c r="B283" s="14"/>
      <c r="C283" s="23" t="s">
        <v>381</v>
      </c>
      <c r="D283" s="5"/>
      <c r="E283" s="5"/>
      <c r="F283" s="5"/>
      <c r="G283" s="5"/>
      <c r="H283" s="5"/>
      <c r="I283" s="5"/>
      <c r="J283" s="88"/>
      <c r="K283" s="88"/>
      <c r="L283" s="17"/>
      <c r="M283" s="17"/>
      <c r="N283" s="17">
        <f t="shared" si="48"/>
        <v>0</v>
      </c>
      <c r="O283" s="56"/>
    </row>
    <row r="284" spans="1:15" ht="15" customHeight="1" x14ac:dyDescent="0.25">
      <c r="A284" s="26">
        <f>IF(K284="","",MAX(A$2:A283)+1)</f>
        <v>45</v>
      </c>
      <c r="B284" s="14"/>
      <c r="C284" s="127" t="s">
        <v>263</v>
      </c>
      <c r="D284" s="5"/>
      <c r="E284" s="5"/>
      <c r="F284" s="5"/>
      <c r="G284" s="5"/>
      <c r="H284" s="5"/>
      <c r="I284" s="5"/>
      <c r="J284" s="88"/>
      <c r="K284" s="88" t="s">
        <v>60</v>
      </c>
      <c r="L284" s="54">
        <v>1</v>
      </c>
      <c r="M284" s="17"/>
      <c r="N284" s="17">
        <f t="shared" si="48"/>
        <v>0</v>
      </c>
      <c r="O284" s="56"/>
    </row>
    <row r="285" spans="1:15" ht="15" customHeight="1" x14ac:dyDescent="0.25">
      <c r="A285" s="26">
        <f>IF(K285="","",MAX(A$2:A284)+1)</f>
        <v>46</v>
      </c>
      <c r="B285" s="14"/>
      <c r="C285" s="127" t="s">
        <v>264</v>
      </c>
      <c r="D285" s="5"/>
      <c r="E285" s="5"/>
      <c r="F285" s="5"/>
      <c r="G285" s="5"/>
      <c r="H285" s="5"/>
      <c r="I285" s="5"/>
      <c r="J285" s="88"/>
      <c r="K285" s="88" t="s">
        <v>60</v>
      </c>
      <c r="L285" s="54">
        <v>1</v>
      </c>
      <c r="M285" s="17"/>
      <c r="N285" s="17">
        <f t="shared" si="48"/>
        <v>0</v>
      </c>
      <c r="O285" s="56"/>
    </row>
    <row r="286" spans="1:15" ht="15" customHeight="1" x14ac:dyDescent="0.25">
      <c r="A286" s="26">
        <f>IF(K286="","",MAX(A$2:A285)+1)</f>
        <v>47</v>
      </c>
      <c r="B286" s="14"/>
      <c r="C286" s="127" t="s">
        <v>265</v>
      </c>
      <c r="D286" s="5"/>
      <c r="E286" s="5"/>
      <c r="F286" s="5"/>
      <c r="G286" s="5"/>
      <c r="H286" s="5"/>
      <c r="I286" s="5"/>
      <c r="J286" s="88"/>
      <c r="K286" s="88" t="s">
        <v>60</v>
      </c>
      <c r="L286" s="54">
        <v>1</v>
      </c>
      <c r="M286" s="17"/>
      <c r="N286" s="17">
        <f t="shared" si="48"/>
        <v>0</v>
      </c>
      <c r="O286" s="56"/>
    </row>
    <row r="287" spans="1:15" ht="15" customHeight="1" x14ac:dyDescent="0.25">
      <c r="A287" s="26">
        <f>IF(K287="","",MAX(A$2:A286)+1)</f>
        <v>48</v>
      </c>
      <c r="B287" s="14"/>
      <c r="C287" s="127" t="s">
        <v>256</v>
      </c>
      <c r="D287" s="5"/>
      <c r="E287" s="5"/>
      <c r="F287" s="5"/>
      <c r="G287" s="5"/>
      <c r="H287" s="5"/>
      <c r="I287" s="5"/>
      <c r="J287" s="88"/>
      <c r="K287" s="88" t="s">
        <v>60</v>
      </c>
      <c r="L287" s="54">
        <v>1</v>
      </c>
      <c r="M287" s="17"/>
      <c r="N287" s="17">
        <f t="shared" si="48"/>
        <v>0</v>
      </c>
      <c r="O287" s="56"/>
    </row>
    <row r="288" spans="1:15" ht="15" customHeight="1" x14ac:dyDescent="0.25">
      <c r="A288" s="26">
        <f>IF(K288="","",MAX(A$2:A287)+1)</f>
        <v>49</v>
      </c>
      <c r="B288" s="14"/>
      <c r="C288" s="20" t="s">
        <v>283</v>
      </c>
      <c r="D288" s="5"/>
      <c r="E288" s="5"/>
      <c r="F288" s="5"/>
      <c r="G288" s="5"/>
      <c r="H288" s="5"/>
      <c r="I288" s="5"/>
      <c r="J288" s="88"/>
      <c r="K288" s="88" t="s">
        <v>60</v>
      </c>
      <c r="L288" s="54">
        <v>1</v>
      </c>
      <c r="M288" s="17"/>
      <c r="N288" s="17">
        <f t="shared" ref="N288" si="49">+M288*L288</f>
        <v>0</v>
      </c>
      <c r="O288" s="56"/>
    </row>
    <row r="289" spans="1:15" ht="15" customHeight="1" x14ac:dyDescent="0.25">
      <c r="A289" s="26">
        <f>IF(K289="","",MAX(A$2:A288)+1)</f>
        <v>50</v>
      </c>
      <c r="B289" s="14"/>
      <c r="C289" s="127" t="s">
        <v>257</v>
      </c>
      <c r="D289" s="5"/>
      <c r="E289" s="5"/>
      <c r="F289" s="5"/>
      <c r="G289" s="5"/>
      <c r="H289" s="5"/>
      <c r="I289" s="5"/>
      <c r="J289" s="88"/>
      <c r="K289" s="88" t="s">
        <v>60</v>
      </c>
      <c r="L289" s="54">
        <v>1</v>
      </c>
      <c r="M289" s="17"/>
      <c r="N289" s="17">
        <f>+M289*L289</f>
        <v>0</v>
      </c>
      <c r="O289" s="56"/>
    </row>
    <row r="290" spans="1:15" ht="15" customHeight="1" x14ac:dyDescent="0.25">
      <c r="A290" s="26">
        <f>IF(K290="","",MAX(A$2:A289)+1)</f>
        <v>51</v>
      </c>
      <c r="B290" s="14"/>
      <c r="C290" s="20" t="s">
        <v>283</v>
      </c>
      <c r="D290" s="5"/>
      <c r="E290" s="5"/>
      <c r="F290" s="5"/>
      <c r="G290" s="5"/>
      <c r="H290" s="5"/>
      <c r="I290" s="5"/>
      <c r="J290" s="88"/>
      <c r="K290" s="88" t="s">
        <v>60</v>
      </c>
      <c r="L290" s="54">
        <v>1</v>
      </c>
      <c r="M290" s="17"/>
      <c r="N290" s="17">
        <f>+M290*L290</f>
        <v>0</v>
      </c>
      <c r="O290" s="56"/>
    </row>
    <row r="291" spans="1:15" ht="15" customHeight="1" x14ac:dyDescent="0.25">
      <c r="A291" s="26">
        <f>IF(K291="","",MAX(A$2:A290)+1)</f>
        <v>52</v>
      </c>
      <c r="B291" s="14"/>
      <c r="C291" s="127" t="s">
        <v>258</v>
      </c>
      <c r="D291" s="5"/>
      <c r="E291" s="5"/>
      <c r="F291" s="5"/>
      <c r="G291" s="5"/>
      <c r="H291" s="5"/>
      <c r="I291" s="5"/>
      <c r="J291" s="88"/>
      <c r="K291" s="88" t="s">
        <v>60</v>
      </c>
      <c r="L291" s="54">
        <v>1</v>
      </c>
      <c r="M291" s="17"/>
      <c r="N291" s="17">
        <f>+M291*L291</f>
        <v>0</v>
      </c>
      <c r="O291" s="56"/>
    </row>
    <row r="292" spans="1:15" ht="15" customHeight="1" x14ac:dyDescent="0.25">
      <c r="A292" s="26">
        <f>IF(K292="","",MAX(A$2:A291)+1)</f>
        <v>53</v>
      </c>
      <c r="B292" s="14"/>
      <c r="C292" s="20" t="s">
        <v>283</v>
      </c>
      <c r="D292" s="5"/>
      <c r="E292" s="5"/>
      <c r="F292" s="5"/>
      <c r="G292" s="5"/>
      <c r="H292" s="5"/>
      <c r="I292" s="5"/>
      <c r="J292" s="88"/>
      <c r="K292" s="88" t="s">
        <v>60</v>
      </c>
      <c r="L292" s="54">
        <v>1</v>
      </c>
      <c r="M292" s="17"/>
      <c r="N292" s="17">
        <f t="shared" ref="N292" si="50">+M292*L292</f>
        <v>0</v>
      </c>
      <c r="O292" s="56"/>
    </row>
    <row r="293" spans="1:15" ht="15" customHeight="1" x14ac:dyDescent="0.25">
      <c r="A293" s="26">
        <f>IF(K293="","",MAX(A$2:A292)+1)</f>
        <v>54</v>
      </c>
      <c r="B293" s="14"/>
      <c r="C293" s="127" t="s">
        <v>260</v>
      </c>
      <c r="D293" s="5"/>
      <c r="E293" s="5"/>
      <c r="F293" s="5"/>
      <c r="G293" s="5"/>
      <c r="H293" s="5"/>
      <c r="I293" s="5"/>
      <c r="J293" s="88"/>
      <c r="K293" s="88" t="s">
        <v>60</v>
      </c>
      <c r="L293" s="54">
        <v>1</v>
      </c>
      <c r="M293" s="17"/>
      <c r="N293" s="17">
        <f>+M293*L293</f>
        <v>0</v>
      </c>
      <c r="O293" s="56"/>
    </row>
    <row r="294" spans="1:15" ht="15" customHeight="1" x14ac:dyDescent="0.25">
      <c r="A294" s="26">
        <f>IF(K294="","",MAX(A$2:A293)+1)</f>
        <v>55</v>
      </c>
      <c r="B294" s="14"/>
      <c r="C294" s="20" t="s">
        <v>283</v>
      </c>
      <c r="D294" s="5"/>
      <c r="E294" s="5"/>
      <c r="F294" s="5"/>
      <c r="G294" s="5"/>
      <c r="H294" s="5"/>
      <c r="I294" s="5"/>
      <c r="J294" s="88"/>
      <c r="K294" s="88" t="s">
        <v>60</v>
      </c>
      <c r="L294" s="54">
        <v>1</v>
      </c>
      <c r="M294" s="17"/>
      <c r="N294" s="17">
        <f t="shared" ref="N294" si="51">+M294*L294</f>
        <v>0</v>
      </c>
      <c r="O294" s="56"/>
    </row>
    <row r="295" spans="1:15" ht="15" customHeight="1" x14ac:dyDescent="0.25">
      <c r="A295" s="26">
        <f>IF(K295="","",MAX(A$2:A294)+1)</f>
        <v>56</v>
      </c>
      <c r="B295" s="14"/>
      <c r="C295" s="127" t="s">
        <v>261</v>
      </c>
      <c r="D295" s="5"/>
      <c r="E295" s="5"/>
      <c r="F295" s="5"/>
      <c r="G295" s="5"/>
      <c r="H295" s="5"/>
      <c r="I295" s="5"/>
      <c r="J295" s="88"/>
      <c r="K295" s="88" t="s">
        <v>60</v>
      </c>
      <c r="L295" s="54">
        <v>1</v>
      </c>
      <c r="M295" s="17"/>
      <c r="N295" s="17">
        <f>+M295*L295</f>
        <v>0</v>
      </c>
      <c r="O295" s="56"/>
    </row>
    <row r="296" spans="1:15" ht="15" customHeight="1" x14ac:dyDescent="0.25">
      <c r="A296" s="26">
        <f>IF(K296="","",MAX(A$2:A295)+1)</f>
        <v>57</v>
      </c>
      <c r="B296" s="14"/>
      <c r="C296" s="20" t="s">
        <v>283</v>
      </c>
      <c r="D296" s="5"/>
      <c r="E296" s="5"/>
      <c r="F296" s="5"/>
      <c r="G296" s="5"/>
      <c r="H296" s="5"/>
      <c r="I296" s="5"/>
      <c r="J296" s="88"/>
      <c r="K296" s="88" t="s">
        <v>60</v>
      </c>
      <c r="L296" s="54">
        <v>1</v>
      </c>
      <c r="M296" s="17"/>
      <c r="N296" s="17">
        <f>+M296*L296</f>
        <v>0</v>
      </c>
      <c r="O296" s="56"/>
    </row>
    <row r="297" spans="1:15" ht="15" customHeight="1" x14ac:dyDescent="0.25">
      <c r="A297" s="26">
        <f>IF(K297="","",MAX(A$2:A296)+1)</f>
        <v>58</v>
      </c>
      <c r="B297" s="14"/>
      <c r="C297" s="127" t="s">
        <v>262</v>
      </c>
      <c r="D297" s="5"/>
      <c r="E297" s="5"/>
      <c r="F297" s="5"/>
      <c r="G297" s="5"/>
      <c r="H297" s="5"/>
      <c r="I297" s="5"/>
      <c r="J297" s="88"/>
      <c r="K297" s="88" t="s">
        <v>60</v>
      </c>
      <c r="L297" s="54">
        <v>1</v>
      </c>
      <c r="M297" s="17"/>
      <c r="N297" s="17">
        <f>+M297*L297</f>
        <v>0</v>
      </c>
      <c r="O297" s="56"/>
    </row>
    <row r="298" spans="1:15" ht="15" customHeight="1" x14ac:dyDescent="0.25">
      <c r="A298" s="26">
        <f>IF(K298="","",MAX(A$2:A297)+1)</f>
        <v>59</v>
      </c>
      <c r="B298" s="14"/>
      <c r="C298" s="20" t="s">
        <v>283</v>
      </c>
      <c r="D298" s="5"/>
      <c r="E298" s="5"/>
      <c r="F298" s="5"/>
      <c r="G298" s="5"/>
      <c r="H298" s="5"/>
      <c r="I298" s="5"/>
      <c r="J298" s="88"/>
      <c r="K298" s="88" t="s">
        <v>60</v>
      </c>
      <c r="L298" s="54">
        <v>1</v>
      </c>
      <c r="M298" s="17"/>
      <c r="N298" s="17">
        <f t="shared" ref="N298:N350" si="52">+M298*L298</f>
        <v>0</v>
      </c>
      <c r="O298" s="56"/>
    </row>
    <row r="299" spans="1:15" ht="15" customHeight="1" x14ac:dyDescent="0.25">
      <c r="A299" s="26" t="str">
        <f>IF(K299="","",MAX(A$2:A298)+1)</f>
        <v/>
      </c>
      <c r="B299" s="14"/>
      <c r="C299" s="20"/>
      <c r="D299" s="5"/>
      <c r="E299" s="5"/>
      <c r="F299" s="5"/>
      <c r="G299" s="5"/>
      <c r="H299" s="5"/>
      <c r="I299" s="5"/>
      <c r="J299" s="88"/>
      <c r="K299" s="88"/>
      <c r="L299" s="54"/>
      <c r="M299" s="17"/>
      <c r="N299" s="17">
        <f t="shared" si="52"/>
        <v>0</v>
      </c>
      <c r="O299" s="56"/>
    </row>
    <row r="300" spans="1:15" ht="15" customHeight="1" x14ac:dyDescent="0.25">
      <c r="A300" s="26" t="str">
        <f>IF(K300="","",MAX(A$2:A299)+1)</f>
        <v/>
      </c>
      <c r="B300" s="14" t="s">
        <v>408</v>
      </c>
      <c r="C300" s="21" t="s">
        <v>431</v>
      </c>
      <c r="D300" s="5"/>
      <c r="E300" s="5"/>
      <c r="F300" s="5"/>
      <c r="G300" s="5"/>
      <c r="H300" s="5"/>
      <c r="I300" s="5"/>
      <c r="J300" s="88"/>
      <c r="K300" s="88"/>
      <c r="L300" s="17"/>
      <c r="M300" s="17"/>
      <c r="N300" s="17">
        <f t="shared" si="52"/>
        <v>0</v>
      </c>
      <c r="O300" s="56"/>
    </row>
    <row r="301" spans="1:15" ht="15" customHeight="1" x14ac:dyDescent="0.25">
      <c r="A301" s="26" t="str">
        <f>IF(K301="","",MAX(A$2:A300)+1)</f>
        <v/>
      </c>
      <c r="B301" s="14"/>
      <c r="C301" s="23" t="s">
        <v>381</v>
      </c>
      <c r="D301" s="5"/>
      <c r="E301" s="5"/>
      <c r="F301" s="5"/>
      <c r="G301" s="5"/>
      <c r="H301" s="5"/>
      <c r="I301" s="5"/>
      <c r="J301" s="88"/>
      <c r="K301" s="88"/>
      <c r="L301" s="17"/>
      <c r="M301" s="17"/>
      <c r="N301" s="17">
        <f t="shared" si="52"/>
        <v>0</v>
      </c>
      <c r="O301" s="56"/>
    </row>
    <row r="302" spans="1:15" ht="15" customHeight="1" x14ac:dyDescent="0.25">
      <c r="A302" s="26">
        <f>IF(K302="","",MAX(A$2:A301)+1)</f>
        <v>60</v>
      </c>
      <c r="B302" s="14"/>
      <c r="C302" s="127" t="s">
        <v>266</v>
      </c>
      <c r="D302" s="5"/>
      <c r="E302" s="5"/>
      <c r="F302" s="5"/>
      <c r="G302" s="5"/>
      <c r="H302" s="5"/>
      <c r="I302" s="5"/>
      <c r="J302" s="88"/>
      <c r="K302" s="88" t="s">
        <v>60</v>
      </c>
      <c r="L302" s="54">
        <v>1</v>
      </c>
      <c r="M302" s="17"/>
      <c r="N302" s="17">
        <f t="shared" si="52"/>
        <v>0</v>
      </c>
      <c r="O302" s="56"/>
    </row>
    <row r="303" spans="1:15" ht="15" customHeight="1" x14ac:dyDescent="0.25">
      <c r="A303" s="26">
        <f>IF(K303="","",MAX(A$2:A302)+1)</f>
        <v>61</v>
      </c>
      <c r="B303" s="14"/>
      <c r="C303" s="127" t="s">
        <v>259</v>
      </c>
      <c r="D303" s="5"/>
      <c r="E303" s="5"/>
      <c r="F303" s="5"/>
      <c r="G303" s="5"/>
      <c r="H303" s="5"/>
      <c r="I303" s="5"/>
      <c r="J303" s="88"/>
      <c r="K303" s="88" t="s">
        <v>60</v>
      </c>
      <c r="L303" s="54">
        <v>1</v>
      </c>
      <c r="M303" s="17"/>
      <c r="N303" s="17">
        <f t="shared" si="52"/>
        <v>0</v>
      </c>
      <c r="O303" s="56"/>
    </row>
    <row r="304" spans="1:15" ht="15" customHeight="1" x14ac:dyDescent="0.25">
      <c r="A304" s="26" t="str">
        <f>IF(K304="","",MAX(A$2:A303)+1)</f>
        <v/>
      </c>
      <c r="B304" s="14"/>
      <c r="C304" s="188"/>
      <c r="D304" s="5"/>
      <c r="E304" s="5"/>
      <c r="F304" s="5"/>
      <c r="G304" s="5"/>
      <c r="H304" s="5"/>
      <c r="I304" s="5"/>
      <c r="J304" s="88"/>
      <c r="K304" s="88"/>
      <c r="L304" s="17"/>
      <c r="M304" s="17"/>
      <c r="N304" s="17">
        <f t="shared" si="52"/>
        <v>0</v>
      </c>
      <c r="O304" s="56"/>
    </row>
    <row r="305" spans="1:15" ht="15" customHeight="1" x14ac:dyDescent="0.25">
      <c r="A305" s="26" t="str">
        <f>IF(K305="","",MAX(A$2:A304)+1)</f>
        <v/>
      </c>
      <c r="B305" s="14" t="s">
        <v>409</v>
      </c>
      <c r="C305" s="21" t="s">
        <v>305</v>
      </c>
      <c r="D305" s="5"/>
      <c r="E305" s="5"/>
      <c r="F305" s="5"/>
      <c r="G305" s="5"/>
      <c r="H305" s="5"/>
      <c r="I305" s="5"/>
      <c r="J305" s="88"/>
      <c r="K305" s="88"/>
      <c r="L305" s="17"/>
      <c r="M305" s="17"/>
      <c r="N305" s="17">
        <f t="shared" si="52"/>
        <v>0</v>
      </c>
      <c r="O305" s="56"/>
    </row>
    <row r="306" spans="1:15" ht="15" customHeight="1" x14ac:dyDescent="0.25">
      <c r="A306" s="26" t="str">
        <f>IF(K306="","",MAX(A$2:A305)+1)</f>
        <v/>
      </c>
      <c r="B306" s="14"/>
      <c r="C306" s="18" t="s">
        <v>306</v>
      </c>
      <c r="D306" s="5"/>
      <c r="E306" s="20" t="s">
        <v>317</v>
      </c>
      <c r="F306" s="5"/>
      <c r="G306" s="5"/>
      <c r="H306" s="5"/>
      <c r="I306" s="5"/>
      <c r="J306" s="88"/>
      <c r="K306" s="88"/>
      <c r="L306" s="17"/>
      <c r="M306" s="17"/>
      <c r="N306" s="17">
        <f t="shared" si="52"/>
        <v>0</v>
      </c>
      <c r="O306" s="56"/>
    </row>
    <row r="307" spans="1:15" ht="15" customHeight="1" x14ac:dyDescent="0.25">
      <c r="A307" s="26">
        <f>IF(K307="","",MAX(A$2:A306)+1)</f>
        <v>62</v>
      </c>
      <c r="B307" s="14"/>
      <c r="C307" s="127" t="s">
        <v>384</v>
      </c>
      <c r="D307" s="5"/>
      <c r="E307" s="5"/>
      <c r="F307" s="5"/>
      <c r="G307" s="5"/>
      <c r="H307" s="5"/>
      <c r="I307" s="5"/>
      <c r="J307" s="88"/>
      <c r="K307" s="88" t="s">
        <v>10</v>
      </c>
      <c r="L307" s="17">
        <v>1</v>
      </c>
      <c r="M307" s="17"/>
      <c r="N307" s="17">
        <f t="shared" si="52"/>
        <v>0</v>
      </c>
      <c r="O307" s="56"/>
    </row>
    <row r="308" spans="1:15" ht="15" customHeight="1" x14ac:dyDescent="0.25">
      <c r="A308" s="26">
        <f>IF(K308="","",MAX(A$2:A307)+1)</f>
        <v>63</v>
      </c>
      <c r="B308" s="14"/>
      <c r="C308" s="127" t="s">
        <v>385</v>
      </c>
      <c r="D308" s="5"/>
      <c r="E308" s="5"/>
      <c r="F308" s="5"/>
      <c r="G308" s="5"/>
      <c r="H308" s="5"/>
      <c r="I308" s="5"/>
      <c r="J308" s="88"/>
      <c r="K308" s="88" t="s">
        <v>10</v>
      </c>
      <c r="L308" s="17">
        <v>1</v>
      </c>
      <c r="M308" s="17"/>
      <c r="N308" s="17">
        <f t="shared" si="52"/>
        <v>0</v>
      </c>
      <c r="O308" s="56"/>
    </row>
    <row r="309" spans="1:15" ht="15" customHeight="1" x14ac:dyDescent="0.25">
      <c r="A309" s="26">
        <f>IF(K309="","",MAX(A$2:A308)+1)</f>
        <v>64</v>
      </c>
      <c r="B309" s="14"/>
      <c r="C309" s="127" t="s">
        <v>307</v>
      </c>
      <c r="D309" s="5"/>
      <c r="E309" s="5"/>
      <c r="F309" s="5"/>
      <c r="G309" s="5"/>
      <c r="H309" s="5"/>
      <c r="I309" s="5"/>
      <c r="J309" s="88"/>
      <c r="K309" s="88" t="s">
        <v>10</v>
      </c>
      <c r="L309" s="17">
        <v>1</v>
      </c>
      <c r="M309" s="17"/>
      <c r="N309" s="17">
        <f t="shared" si="52"/>
        <v>0</v>
      </c>
      <c r="O309" s="56"/>
    </row>
    <row r="310" spans="1:15" ht="15" customHeight="1" x14ac:dyDescent="0.25">
      <c r="A310" s="26">
        <f>IF(K310="","",MAX(A$2:A309)+1)</f>
        <v>65</v>
      </c>
      <c r="B310" s="14"/>
      <c r="C310" s="127" t="s">
        <v>308</v>
      </c>
      <c r="D310" s="5"/>
      <c r="E310" s="5"/>
      <c r="F310" s="5"/>
      <c r="G310" s="5"/>
      <c r="H310" s="5"/>
      <c r="I310" s="5"/>
      <c r="J310" s="88"/>
      <c r="K310" s="88" t="s">
        <v>10</v>
      </c>
      <c r="L310" s="17">
        <v>1</v>
      </c>
      <c r="M310" s="17"/>
      <c r="N310" s="17">
        <f t="shared" si="52"/>
        <v>0</v>
      </c>
      <c r="O310" s="56"/>
    </row>
    <row r="311" spans="1:15" ht="15" customHeight="1" x14ac:dyDescent="0.25">
      <c r="A311" s="26">
        <f>IF(K311="","",MAX(A$2:A310)+1)</f>
        <v>66</v>
      </c>
      <c r="B311" s="14"/>
      <c r="C311" s="198" t="s">
        <v>309</v>
      </c>
      <c r="D311" s="5"/>
      <c r="E311" s="5"/>
      <c r="F311" s="5"/>
      <c r="G311" s="5"/>
      <c r="H311" s="5"/>
      <c r="I311" s="5"/>
      <c r="J311" s="88"/>
      <c r="K311" s="88" t="s">
        <v>10</v>
      </c>
      <c r="L311" s="17">
        <v>1</v>
      </c>
      <c r="M311" s="17"/>
      <c r="N311" s="17">
        <f t="shared" si="52"/>
        <v>0</v>
      </c>
      <c r="O311" s="56"/>
    </row>
    <row r="312" spans="1:15" ht="15" customHeight="1" x14ac:dyDescent="0.25">
      <c r="A312" s="26">
        <f>IF(K312="","",MAX(A$2:A311)+1)</f>
        <v>67</v>
      </c>
      <c r="B312" s="14"/>
      <c r="C312" s="198" t="s">
        <v>310</v>
      </c>
      <c r="D312" s="5"/>
      <c r="E312" s="5"/>
      <c r="F312" s="5"/>
      <c r="G312" s="5"/>
      <c r="H312" s="5"/>
      <c r="I312" s="5"/>
      <c r="J312" s="88"/>
      <c r="K312" s="88" t="s">
        <v>10</v>
      </c>
      <c r="L312" s="17">
        <v>1</v>
      </c>
      <c r="M312" s="17"/>
      <c r="N312" s="17">
        <f t="shared" si="52"/>
        <v>0</v>
      </c>
      <c r="O312" s="56"/>
    </row>
    <row r="313" spans="1:15" ht="15" customHeight="1" x14ac:dyDescent="0.25">
      <c r="A313" s="26">
        <f>IF(K313="","",MAX(A$2:A312)+1)</f>
        <v>68</v>
      </c>
      <c r="B313" s="14"/>
      <c r="C313" s="198" t="s">
        <v>311</v>
      </c>
      <c r="D313" s="5"/>
      <c r="E313" s="5"/>
      <c r="F313" s="5"/>
      <c r="G313" s="5"/>
      <c r="H313" s="5"/>
      <c r="I313" s="5"/>
      <c r="J313" s="88"/>
      <c r="K313" s="88" t="s">
        <v>10</v>
      </c>
      <c r="L313" s="17">
        <v>1</v>
      </c>
      <c r="M313" s="17"/>
      <c r="N313" s="17">
        <f t="shared" si="52"/>
        <v>0</v>
      </c>
      <c r="O313" s="56"/>
    </row>
    <row r="314" spans="1:15" ht="15" customHeight="1" x14ac:dyDescent="0.25">
      <c r="A314" s="26">
        <f>IF(K314="","",MAX(A$2:A313)+1)</f>
        <v>69</v>
      </c>
      <c r="B314" s="14"/>
      <c r="C314" s="198" t="s">
        <v>312</v>
      </c>
      <c r="D314" s="5"/>
      <c r="E314" s="5"/>
      <c r="F314" s="5"/>
      <c r="G314" s="5"/>
      <c r="H314" s="5"/>
      <c r="I314" s="5"/>
      <c r="J314" s="88"/>
      <c r="K314" s="88" t="s">
        <v>10</v>
      </c>
      <c r="L314" s="17">
        <v>1</v>
      </c>
      <c r="M314" s="17"/>
      <c r="N314" s="17">
        <f t="shared" si="52"/>
        <v>0</v>
      </c>
      <c r="O314" s="56"/>
    </row>
    <row r="315" spans="1:15" ht="15" customHeight="1" x14ac:dyDescent="0.25">
      <c r="A315" s="26">
        <f>IF(K315="","",MAX(A$2:A314)+1)</f>
        <v>70</v>
      </c>
      <c r="B315" s="14"/>
      <c r="C315" s="198" t="s">
        <v>313</v>
      </c>
      <c r="D315" s="5"/>
      <c r="E315" s="5"/>
      <c r="F315" s="5"/>
      <c r="G315" s="5"/>
      <c r="H315" s="5"/>
      <c r="I315" s="5"/>
      <c r="J315" s="88"/>
      <c r="K315" s="88" t="s">
        <v>10</v>
      </c>
      <c r="L315" s="17">
        <v>1</v>
      </c>
      <c r="M315" s="17"/>
      <c r="N315" s="17">
        <f t="shared" si="52"/>
        <v>0</v>
      </c>
      <c r="O315" s="56"/>
    </row>
    <row r="316" spans="1:15" ht="15" customHeight="1" x14ac:dyDescent="0.25">
      <c r="A316" s="26">
        <f>IF(K316="","",MAX(A$2:A315)+1)</f>
        <v>71</v>
      </c>
      <c r="B316" s="14"/>
      <c r="C316" s="198" t="s">
        <v>314</v>
      </c>
      <c r="D316" s="5"/>
      <c r="E316" s="5"/>
      <c r="F316" s="5"/>
      <c r="G316" s="5"/>
      <c r="H316" s="5"/>
      <c r="I316" s="5"/>
      <c r="J316" s="88"/>
      <c r="K316" s="88" t="s">
        <v>10</v>
      </c>
      <c r="L316" s="17">
        <v>1</v>
      </c>
      <c r="M316" s="17"/>
      <c r="N316" s="17">
        <f t="shared" si="52"/>
        <v>0</v>
      </c>
      <c r="O316" s="56"/>
    </row>
    <row r="317" spans="1:15" ht="15" customHeight="1" x14ac:dyDescent="0.25">
      <c r="A317" s="26">
        <f>IF(K317="","",MAX(A$2:A316)+1)</f>
        <v>72</v>
      </c>
      <c r="B317" s="14"/>
      <c r="C317" s="198" t="s">
        <v>315</v>
      </c>
      <c r="D317" s="5"/>
      <c r="E317" s="5"/>
      <c r="F317" s="5"/>
      <c r="G317" s="5"/>
      <c r="H317" s="5"/>
      <c r="I317" s="5"/>
      <c r="J317" s="88"/>
      <c r="K317" s="88" t="s">
        <v>10</v>
      </c>
      <c r="L317" s="17">
        <v>1</v>
      </c>
      <c r="M317" s="17"/>
      <c r="N317" s="17">
        <f t="shared" si="52"/>
        <v>0</v>
      </c>
      <c r="O317" s="56"/>
    </row>
    <row r="318" spans="1:15" ht="15" customHeight="1" x14ac:dyDescent="0.25">
      <c r="A318" s="26">
        <f>IF(K318="","",MAX(A$2:A317)+1)</f>
        <v>73</v>
      </c>
      <c r="B318" s="14"/>
      <c r="C318" s="127" t="s">
        <v>316</v>
      </c>
      <c r="D318" s="5"/>
      <c r="E318" s="5"/>
      <c r="F318" s="5"/>
      <c r="G318" s="5"/>
      <c r="H318" s="5"/>
      <c r="I318" s="5"/>
      <c r="J318" s="88"/>
      <c r="K318" s="88" t="s">
        <v>10</v>
      </c>
      <c r="L318" s="17">
        <v>1</v>
      </c>
      <c r="M318" s="17"/>
      <c r="N318" s="17">
        <f t="shared" si="52"/>
        <v>0</v>
      </c>
      <c r="O318" s="56"/>
    </row>
    <row r="319" spans="1:15" ht="15" customHeight="1" x14ac:dyDescent="0.25">
      <c r="A319" s="26">
        <f>IF(K319="","",MAX(A$2:A318)+1)</f>
        <v>74</v>
      </c>
      <c r="B319" s="14"/>
      <c r="C319" s="127" t="s">
        <v>386</v>
      </c>
      <c r="D319" s="5"/>
      <c r="E319" s="5"/>
      <c r="F319" s="5"/>
      <c r="G319" s="5"/>
      <c r="H319" s="5"/>
      <c r="I319" s="5"/>
      <c r="J319" s="88"/>
      <c r="K319" s="88" t="s">
        <v>10</v>
      </c>
      <c r="L319" s="17">
        <v>1</v>
      </c>
      <c r="M319" s="17"/>
      <c r="N319" s="17">
        <f t="shared" si="52"/>
        <v>0</v>
      </c>
      <c r="O319" s="56"/>
    </row>
    <row r="320" spans="1:15" ht="15" customHeight="1" x14ac:dyDescent="0.25">
      <c r="A320" s="26" t="str">
        <f>IF(K320="","",MAX(A$2:A319)+1)</f>
        <v/>
      </c>
      <c r="B320" s="14"/>
      <c r="C320" s="188"/>
      <c r="D320" s="5"/>
      <c r="E320" s="5"/>
      <c r="F320" s="5"/>
      <c r="G320" s="5"/>
      <c r="H320" s="5"/>
      <c r="I320" s="5"/>
      <c r="J320" s="88"/>
      <c r="K320" s="88"/>
      <c r="L320" s="17"/>
      <c r="M320" s="17"/>
      <c r="N320" s="17">
        <f t="shared" si="52"/>
        <v>0</v>
      </c>
      <c r="O320" s="56"/>
    </row>
    <row r="321" spans="1:15" ht="15" customHeight="1" x14ac:dyDescent="0.25">
      <c r="A321" s="26" t="str">
        <f>IF(K321="","",MAX(A$2:A320)+1)</f>
        <v/>
      </c>
      <c r="B321" s="14" t="s">
        <v>410</v>
      </c>
      <c r="C321" s="21" t="s">
        <v>150</v>
      </c>
      <c r="D321" s="5"/>
      <c r="E321" s="6"/>
      <c r="F321" s="5"/>
      <c r="G321" s="5"/>
      <c r="H321" s="5"/>
      <c r="I321" s="5"/>
      <c r="J321" s="88"/>
      <c r="K321" s="88"/>
      <c r="L321" s="17"/>
      <c r="M321" s="17"/>
      <c r="N321" s="17">
        <f t="shared" si="52"/>
        <v>0</v>
      </c>
      <c r="O321" s="56"/>
    </row>
    <row r="322" spans="1:15" ht="15" customHeight="1" x14ac:dyDescent="0.25">
      <c r="A322" s="26" t="str">
        <f>IF(K322="","",MAX(A$2:A321)+1)</f>
        <v/>
      </c>
      <c r="B322" s="14"/>
      <c r="C322" s="128" t="s">
        <v>151</v>
      </c>
      <c r="D322" s="23"/>
      <c r="E322" s="23"/>
      <c r="F322" s="23"/>
      <c r="G322" s="23"/>
      <c r="H322" s="23"/>
      <c r="I322" s="23"/>
      <c r="J322" s="47"/>
      <c r="K322" s="88"/>
      <c r="L322" s="17"/>
      <c r="M322" s="17"/>
      <c r="N322" s="17">
        <f t="shared" si="52"/>
        <v>0</v>
      </c>
      <c r="O322" s="56"/>
    </row>
    <row r="323" spans="1:15" ht="15" customHeight="1" collapsed="1" x14ac:dyDescent="0.25">
      <c r="A323" s="26">
        <f>IF(K323="","",MAX(A$2:A322)+1)</f>
        <v>75</v>
      </c>
      <c r="B323" s="14"/>
      <c r="C323" s="43" t="s">
        <v>121</v>
      </c>
      <c r="D323" s="23"/>
      <c r="E323" s="23"/>
      <c r="F323" s="23"/>
      <c r="G323" s="23"/>
      <c r="H323" s="23"/>
      <c r="I323" s="23"/>
      <c r="J323" s="88"/>
      <c r="K323" s="88" t="s">
        <v>60</v>
      </c>
      <c r="L323" s="54">
        <f>+I329</f>
        <v>4</v>
      </c>
      <c r="M323" s="17"/>
      <c r="N323" s="17">
        <f t="shared" si="52"/>
        <v>0</v>
      </c>
      <c r="O323" s="56"/>
    </row>
    <row r="324" spans="1:15" s="119" customFormat="1" ht="13.15" hidden="1" customHeight="1" outlineLevel="1" x14ac:dyDescent="0.25">
      <c r="A324" s="26" t="str">
        <f>IF(K324="","",MAX(A$2:A323)+1)</f>
        <v/>
      </c>
      <c r="B324" s="205"/>
      <c r="C324" s="152" t="s">
        <v>247</v>
      </c>
      <c r="D324" s="149"/>
      <c r="E324" s="153"/>
      <c r="F324" s="153"/>
      <c r="G324" s="153"/>
      <c r="H324" s="154" t="s">
        <v>12</v>
      </c>
      <c r="I324" s="186" t="s">
        <v>172</v>
      </c>
      <c r="J324" s="155"/>
      <c r="K324" s="150"/>
      <c r="L324" s="118"/>
      <c r="M324" s="118"/>
      <c r="N324" s="17">
        <f t="shared" si="52"/>
        <v>0</v>
      </c>
      <c r="O324" s="156"/>
    </row>
    <row r="325" spans="1:15" s="119" customFormat="1" ht="13.15" hidden="1" customHeight="1" outlineLevel="1" x14ac:dyDescent="0.25">
      <c r="A325" s="26" t="str">
        <f>IF(K325="","",MAX(A$2:A324)+1)</f>
        <v/>
      </c>
      <c r="B325" s="205"/>
      <c r="C325" s="152" t="s">
        <v>366</v>
      </c>
      <c r="D325" s="149"/>
      <c r="E325" s="153"/>
      <c r="F325" s="153"/>
      <c r="G325" s="153"/>
      <c r="H325" s="154" t="s">
        <v>12</v>
      </c>
      <c r="I325" s="186">
        <v>3</v>
      </c>
      <c r="J325" s="155"/>
      <c r="K325" s="150"/>
      <c r="L325" s="118"/>
      <c r="M325" s="118"/>
      <c r="N325" s="17">
        <f t="shared" si="52"/>
        <v>0</v>
      </c>
      <c r="O325" s="156"/>
    </row>
    <row r="326" spans="1:15" s="119" customFormat="1" ht="13.15" hidden="1" customHeight="1" outlineLevel="1" x14ac:dyDescent="0.25">
      <c r="A326" s="26" t="str">
        <f>IF(K326="","",MAX(A$2:A325)+1)</f>
        <v/>
      </c>
      <c r="B326" s="205"/>
      <c r="C326" s="152" t="s">
        <v>241</v>
      </c>
      <c r="D326" s="149"/>
      <c r="E326" s="153"/>
      <c r="F326" s="153"/>
      <c r="G326" s="153"/>
      <c r="H326" s="154" t="s">
        <v>12</v>
      </c>
      <c r="I326" s="186" t="s">
        <v>172</v>
      </c>
      <c r="J326" s="155"/>
      <c r="K326" s="150"/>
      <c r="L326" s="118"/>
      <c r="M326" s="118"/>
      <c r="N326" s="17">
        <f t="shared" si="52"/>
        <v>0</v>
      </c>
      <c r="O326" s="156"/>
    </row>
    <row r="327" spans="1:15" s="119" customFormat="1" ht="13.15" hidden="1" customHeight="1" outlineLevel="1" x14ac:dyDescent="0.25">
      <c r="A327" s="26" t="str">
        <f>IF(K327="","",MAX(A$2:A326)+1)</f>
        <v/>
      </c>
      <c r="B327" s="205"/>
      <c r="C327" s="152" t="s">
        <v>340</v>
      </c>
      <c r="D327" s="149"/>
      <c r="E327" s="153"/>
      <c r="F327" s="153"/>
      <c r="G327" s="153"/>
      <c r="H327" s="154" t="s">
        <v>12</v>
      </c>
      <c r="I327" s="186">
        <v>1</v>
      </c>
      <c r="J327" s="155"/>
      <c r="K327" s="150"/>
      <c r="L327" s="118"/>
      <c r="M327" s="118"/>
      <c r="N327" s="17">
        <f t="shared" si="52"/>
        <v>0</v>
      </c>
      <c r="O327" s="156"/>
    </row>
    <row r="328" spans="1:15" ht="6" hidden="1" customHeight="1" outlineLevel="1" x14ac:dyDescent="0.25">
      <c r="A328" s="26" t="str">
        <f>IF(K328="","",MAX(A$2:A327)+1)</f>
        <v/>
      </c>
      <c r="B328" s="14"/>
      <c r="C328" s="24"/>
      <c r="D328" s="5"/>
      <c r="E328" s="46"/>
      <c r="F328" s="41"/>
      <c r="G328" s="41"/>
      <c r="H328" s="103"/>
      <c r="I328" s="46"/>
      <c r="J328" s="91"/>
      <c r="K328" s="88"/>
      <c r="L328" s="17"/>
      <c r="M328" s="17"/>
      <c r="N328" s="17">
        <f t="shared" si="52"/>
        <v>0</v>
      </c>
      <c r="O328" s="104"/>
    </row>
    <row r="329" spans="1:15" ht="13.15" hidden="1" customHeight="1" outlineLevel="1" x14ac:dyDescent="0.25">
      <c r="A329" s="26" t="str">
        <f>IF(K329="","",MAX(A$2:A328)+1)</f>
        <v/>
      </c>
      <c r="B329" s="14"/>
      <c r="C329" s="42"/>
      <c r="D329" s="5"/>
      <c r="E329" s="46"/>
      <c r="F329" s="41"/>
      <c r="G329" s="41"/>
      <c r="H329" s="103"/>
      <c r="I329" s="187">
        <f>SUM(I324:I327)</f>
        <v>4</v>
      </c>
      <c r="J329" s="91"/>
      <c r="K329" s="88"/>
      <c r="L329" s="17"/>
      <c r="M329" s="17"/>
      <c r="N329" s="17">
        <f t="shared" si="52"/>
        <v>0</v>
      </c>
      <c r="O329" s="104"/>
    </row>
    <row r="330" spans="1:15" ht="15" customHeight="1" collapsed="1" x14ac:dyDescent="0.25">
      <c r="A330" s="26">
        <f>IF(K330="","",MAX(A$2:A329)+1)</f>
        <v>76</v>
      </c>
      <c r="B330" s="14"/>
      <c r="C330" s="43" t="s">
        <v>122</v>
      </c>
      <c r="D330" s="23"/>
      <c r="E330" s="23"/>
      <c r="F330" s="23"/>
      <c r="G330" s="23"/>
      <c r="H330" s="23"/>
      <c r="I330" s="23"/>
      <c r="J330" s="47"/>
      <c r="K330" s="88" t="s">
        <v>60</v>
      </c>
      <c r="L330" s="54">
        <f>+I336</f>
        <v>32</v>
      </c>
      <c r="M330" s="17"/>
      <c r="N330" s="17">
        <f t="shared" si="52"/>
        <v>0</v>
      </c>
      <c r="O330" s="56"/>
    </row>
    <row r="331" spans="1:15" s="119" customFormat="1" ht="13.15" hidden="1" customHeight="1" outlineLevel="1" x14ac:dyDescent="0.25">
      <c r="A331" s="26" t="str">
        <f>IF(K331="","",MAX(A$2:A330)+1)</f>
        <v/>
      </c>
      <c r="B331" s="205"/>
      <c r="C331" s="152" t="s">
        <v>365</v>
      </c>
      <c r="D331" s="149"/>
      <c r="E331" s="153"/>
      <c r="F331" s="153"/>
      <c r="G331" s="153"/>
      <c r="H331" s="154" t="s">
        <v>12</v>
      </c>
      <c r="I331" s="186">
        <v>14</v>
      </c>
      <c r="J331" s="155"/>
      <c r="K331" s="150"/>
      <c r="L331" s="118"/>
      <c r="M331" s="118"/>
      <c r="N331" s="17">
        <f t="shared" si="52"/>
        <v>0</v>
      </c>
      <c r="O331" s="156"/>
    </row>
    <row r="332" spans="1:15" s="119" customFormat="1" ht="13.15" hidden="1" customHeight="1" outlineLevel="1" x14ac:dyDescent="0.25">
      <c r="A332" s="26" t="str">
        <f>IF(K332="","",MAX(A$2:A331)+1)</f>
        <v/>
      </c>
      <c r="B332" s="205"/>
      <c r="C332" s="152" t="s">
        <v>367</v>
      </c>
      <c r="D332" s="149"/>
      <c r="E332" s="153"/>
      <c r="F332" s="153"/>
      <c r="G332" s="153"/>
      <c r="H332" s="154" t="s">
        <v>12</v>
      </c>
      <c r="I332" s="186">
        <v>17</v>
      </c>
      <c r="J332" s="155"/>
      <c r="K332" s="150"/>
      <c r="L332" s="118"/>
      <c r="M332" s="118"/>
      <c r="N332" s="17">
        <f t="shared" si="52"/>
        <v>0</v>
      </c>
      <c r="O332" s="156"/>
    </row>
    <row r="333" spans="1:15" s="119" customFormat="1" ht="13.15" hidden="1" customHeight="1" outlineLevel="1" x14ac:dyDescent="0.25">
      <c r="A333" s="26" t="str">
        <f>IF(K333="","",MAX(A$2:A332)+1)</f>
        <v/>
      </c>
      <c r="B333" s="205"/>
      <c r="C333" s="152" t="s">
        <v>339</v>
      </c>
      <c r="D333" s="149"/>
      <c r="E333" s="153"/>
      <c r="F333" s="153"/>
      <c r="G333" s="153"/>
      <c r="H333" s="154" t="s">
        <v>12</v>
      </c>
      <c r="I333" s="186">
        <v>1</v>
      </c>
      <c r="J333" s="155"/>
      <c r="K333" s="150"/>
      <c r="L333" s="118"/>
      <c r="M333" s="118"/>
      <c r="N333" s="17">
        <f t="shared" si="52"/>
        <v>0</v>
      </c>
      <c r="O333" s="156"/>
    </row>
    <row r="334" spans="1:15" s="119" customFormat="1" ht="13.15" hidden="1" customHeight="1" outlineLevel="1" x14ac:dyDescent="0.25">
      <c r="A334" s="26" t="str">
        <f>IF(K334="","",MAX(A$2:A333)+1)</f>
        <v/>
      </c>
      <c r="B334" s="205"/>
      <c r="C334" s="152" t="s">
        <v>177</v>
      </c>
      <c r="D334" s="149"/>
      <c r="E334" s="153"/>
      <c r="F334" s="153"/>
      <c r="G334" s="153"/>
      <c r="H334" s="154" t="s">
        <v>12</v>
      </c>
      <c r="I334" s="186" t="s">
        <v>172</v>
      </c>
      <c r="J334" s="155"/>
      <c r="K334" s="150"/>
      <c r="L334" s="118"/>
      <c r="M334" s="118"/>
      <c r="N334" s="17">
        <f t="shared" si="52"/>
        <v>0</v>
      </c>
      <c r="O334" s="156"/>
    </row>
    <row r="335" spans="1:15" ht="6" hidden="1" customHeight="1" outlineLevel="1" x14ac:dyDescent="0.25">
      <c r="A335" s="26" t="str">
        <f>IF(K335="","",MAX(A$2:A334)+1)</f>
        <v/>
      </c>
      <c r="B335" s="14"/>
      <c r="C335" s="24"/>
      <c r="D335" s="5"/>
      <c r="E335" s="46"/>
      <c r="F335" s="41"/>
      <c r="G335" s="41"/>
      <c r="H335" s="103"/>
      <c r="I335" s="46"/>
      <c r="J335" s="91"/>
      <c r="K335" s="88"/>
      <c r="L335" s="17"/>
      <c r="M335" s="17"/>
      <c r="N335" s="17">
        <f t="shared" si="52"/>
        <v>0</v>
      </c>
      <c r="O335" s="104"/>
    </row>
    <row r="336" spans="1:15" ht="13.15" hidden="1" customHeight="1" outlineLevel="1" x14ac:dyDescent="0.25">
      <c r="A336" s="26" t="str">
        <f>IF(K336="","",MAX(A$2:A335)+1)</f>
        <v/>
      </c>
      <c r="B336" s="14"/>
      <c r="C336" s="42"/>
      <c r="D336" s="5"/>
      <c r="E336" s="46"/>
      <c r="F336" s="41"/>
      <c r="G336" s="41"/>
      <c r="H336" s="103"/>
      <c r="I336" s="187">
        <f>SUM(I331:I334)</f>
        <v>32</v>
      </c>
      <c r="J336" s="91"/>
      <c r="K336" s="88"/>
      <c r="L336" s="17"/>
      <c r="M336" s="17"/>
      <c r="N336" s="17">
        <f t="shared" si="52"/>
        <v>0</v>
      </c>
      <c r="O336" s="104"/>
    </row>
    <row r="337" spans="1:15" ht="15" customHeight="1" x14ac:dyDescent="0.25">
      <c r="A337" s="26" t="str">
        <f>IF(K337="","",MAX(A$2:A336)+1)</f>
        <v/>
      </c>
      <c r="B337" s="14"/>
      <c r="C337" s="43"/>
      <c r="D337" s="5"/>
      <c r="E337" s="5"/>
      <c r="F337" s="5"/>
      <c r="G337" s="5"/>
      <c r="H337" s="5"/>
      <c r="I337" s="5"/>
      <c r="J337" s="88"/>
      <c r="K337" s="88"/>
      <c r="L337" s="17"/>
      <c r="M337" s="17"/>
      <c r="N337" s="17">
        <f t="shared" si="52"/>
        <v>0</v>
      </c>
      <c r="O337" s="56"/>
    </row>
    <row r="338" spans="1:15" ht="15" customHeight="1" x14ac:dyDescent="0.25">
      <c r="A338" s="26" t="str">
        <f>IF(K338="","",MAX(A$2:A337)+1)</f>
        <v/>
      </c>
      <c r="B338" s="14" t="s">
        <v>411</v>
      </c>
      <c r="C338" s="21" t="s">
        <v>68</v>
      </c>
      <c r="D338" s="23"/>
      <c r="E338" s="23"/>
      <c r="F338" s="23"/>
      <c r="G338" s="23"/>
      <c r="H338" s="23"/>
      <c r="I338" s="23"/>
      <c r="J338" s="47"/>
      <c r="K338" s="88"/>
      <c r="L338" s="54"/>
      <c r="M338" s="17"/>
      <c r="N338" s="17">
        <f t="shared" si="52"/>
        <v>0</v>
      </c>
      <c r="O338" s="56"/>
    </row>
    <row r="339" spans="1:15" ht="15" customHeight="1" x14ac:dyDescent="0.25">
      <c r="A339" s="26" t="str">
        <f>IF(K339="","",MAX(A$2:A338)+1)</f>
        <v/>
      </c>
      <c r="B339" s="14"/>
      <c r="C339" s="23" t="s">
        <v>368</v>
      </c>
      <c r="D339" s="23"/>
      <c r="E339" s="23"/>
      <c r="F339" s="23"/>
      <c r="G339" s="23"/>
      <c r="H339" s="23"/>
      <c r="I339" s="23"/>
      <c r="J339" s="47"/>
      <c r="K339" s="88"/>
      <c r="L339" s="54"/>
      <c r="M339" s="17"/>
      <c r="N339" s="17">
        <f t="shared" si="52"/>
        <v>0</v>
      </c>
      <c r="O339" s="56"/>
    </row>
    <row r="340" spans="1:15" ht="15" customHeight="1" collapsed="1" x14ac:dyDescent="0.25">
      <c r="A340" s="26">
        <f>IF(K340="","",MAX(A$2:A339)+1)</f>
        <v>77</v>
      </c>
      <c r="B340" s="14"/>
      <c r="C340" s="43" t="s">
        <v>184</v>
      </c>
      <c r="D340" s="23"/>
      <c r="E340" s="23"/>
      <c r="F340" s="23"/>
      <c r="G340" s="23"/>
      <c r="H340" s="23"/>
      <c r="I340" s="23"/>
      <c r="J340" s="47"/>
      <c r="K340" s="88" t="s">
        <v>60</v>
      </c>
      <c r="L340" s="54">
        <f>+I346</f>
        <v>5</v>
      </c>
      <c r="M340" s="17"/>
      <c r="N340" s="17">
        <f t="shared" si="52"/>
        <v>0</v>
      </c>
      <c r="O340" s="56"/>
    </row>
    <row r="341" spans="1:15" s="119" customFormat="1" ht="13.15" hidden="1" customHeight="1" outlineLevel="1" x14ac:dyDescent="0.25">
      <c r="A341" s="26" t="str">
        <f>IF(K341="","",MAX(A$2:A340)+1)</f>
        <v/>
      </c>
      <c r="B341" s="205"/>
      <c r="C341" s="152" t="s">
        <v>255</v>
      </c>
      <c r="D341" s="149"/>
      <c r="E341" s="153"/>
      <c r="F341" s="153"/>
      <c r="G341" s="153"/>
      <c r="H341" s="154" t="s">
        <v>12</v>
      </c>
      <c r="I341" s="186">
        <v>2</v>
      </c>
      <c r="J341" s="155"/>
      <c r="K341" s="150"/>
      <c r="L341" s="118"/>
      <c r="M341" s="118"/>
      <c r="N341" s="17">
        <f t="shared" si="52"/>
        <v>0</v>
      </c>
      <c r="O341" s="156"/>
    </row>
    <row r="342" spans="1:15" s="119" customFormat="1" ht="13.15" hidden="1" customHeight="1" outlineLevel="1" x14ac:dyDescent="0.25">
      <c r="A342" s="26" t="str">
        <f>IF(K342="","",MAX(A$2:A341)+1)</f>
        <v/>
      </c>
      <c r="B342" s="205"/>
      <c r="C342" s="152" t="s">
        <v>176</v>
      </c>
      <c r="D342" s="149"/>
      <c r="E342" s="153"/>
      <c r="F342" s="153"/>
      <c r="G342" s="153"/>
      <c r="H342" s="154" t="s">
        <v>12</v>
      </c>
      <c r="I342" s="186">
        <v>3</v>
      </c>
      <c r="J342" s="155"/>
      <c r="K342" s="150"/>
      <c r="L342" s="118"/>
      <c r="M342" s="118"/>
      <c r="N342" s="17">
        <f t="shared" si="52"/>
        <v>0</v>
      </c>
      <c r="O342" s="156"/>
    </row>
    <row r="343" spans="1:15" s="119" customFormat="1" ht="13.15" hidden="1" customHeight="1" outlineLevel="1" x14ac:dyDescent="0.25">
      <c r="A343" s="26" t="str">
        <f>IF(K343="","",MAX(A$2:A342)+1)</f>
        <v/>
      </c>
      <c r="B343" s="205"/>
      <c r="C343" s="152" t="s">
        <v>241</v>
      </c>
      <c r="D343" s="149"/>
      <c r="E343" s="153"/>
      <c r="F343" s="153"/>
      <c r="G343" s="153"/>
      <c r="H343" s="154" t="s">
        <v>12</v>
      </c>
      <c r="I343" s="186" t="s">
        <v>172</v>
      </c>
      <c r="J343" s="155"/>
      <c r="K343" s="150"/>
      <c r="L343" s="118"/>
      <c r="M343" s="118"/>
      <c r="N343" s="17">
        <f t="shared" si="52"/>
        <v>0</v>
      </c>
      <c r="O343" s="156"/>
    </row>
    <row r="344" spans="1:15" s="119" customFormat="1" ht="13.15" hidden="1" customHeight="1" outlineLevel="1" x14ac:dyDescent="0.25">
      <c r="A344" s="26" t="str">
        <f>IF(K344="","",MAX(A$2:A343)+1)</f>
        <v/>
      </c>
      <c r="B344" s="205"/>
      <c r="C344" s="152" t="s">
        <v>177</v>
      </c>
      <c r="D344" s="149"/>
      <c r="E344" s="153"/>
      <c r="F344" s="153"/>
      <c r="G344" s="153"/>
      <c r="H344" s="154" t="s">
        <v>12</v>
      </c>
      <c r="I344" s="186" t="s">
        <v>172</v>
      </c>
      <c r="J344" s="155"/>
      <c r="K344" s="150"/>
      <c r="L344" s="118"/>
      <c r="M344" s="118"/>
      <c r="N344" s="17">
        <f t="shared" si="52"/>
        <v>0</v>
      </c>
      <c r="O344" s="156"/>
    </row>
    <row r="345" spans="1:15" ht="6" hidden="1" customHeight="1" outlineLevel="1" x14ac:dyDescent="0.25">
      <c r="A345" s="26" t="str">
        <f>IF(K345="","",MAX(A$2:A344)+1)</f>
        <v/>
      </c>
      <c r="B345" s="14"/>
      <c r="C345" s="24"/>
      <c r="D345" s="5"/>
      <c r="E345" s="46"/>
      <c r="F345" s="41"/>
      <c r="G345" s="41"/>
      <c r="H345" s="103"/>
      <c r="I345" s="46"/>
      <c r="J345" s="91"/>
      <c r="K345" s="88"/>
      <c r="L345" s="17"/>
      <c r="M345" s="17"/>
      <c r="N345" s="17">
        <f t="shared" si="52"/>
        <v>0</v>
      </c>
      <c r="O345" s="104"/>
    </row>
    <row r="346" spans="1:15" ht="13.15" hidden="1" customHeight="1" outlineLevel="1" x14ac:dyDescent="0.25">
      <c r="A346" s="26" t="str">
        <f>IF(K346="","",MAX(A$2:A345)+1)</f>
        <v/>
      </c>
      <c r="B346" s="14"/>
      <c r="C346" s="42"/>
      <c r="D346" s="5"/>
      <c r="E346" s="46"/>
      <c r="F346" s="41"/>
      <c r="G346" s="41"/>
      <c r="H346" s="103"/>
      <c r="I346" s="187">
        <f>SUM(I341:I344)</f>
        <v>5</v>
      </c>
      <c r="J346" s="91"/>
      <c r="K346" s="88"/>
      <c r="L346" s="17"/>
      <c r="M346" s="17"/>
      <c r="N346" s="17">
        <f t="shared" si="52"/>
        <v>0</v>
      </c>
      <c r="O346" s="104"/>
    </row>
    <row r="347" spans="1:15" ht="15" customHeight="1" x14ac:dyDescent="0.25">
      <c r="A347" s="26">
        <f>IF(K347="","",MAX(A$2:A346)+1)</f>
        <v>78</v>
      </c>
      <c r="B347" s="14"/>
      <c r="C347" s="43" t="s">
        <v>185</v>
      </c>
      <c r="D347" s="23"/>
      <c r="E347" s="23"/>
      <c r="F347" s="23"/>
      <c r="G347" s="23"/>
      <c r="H347" s="23"/>
      <c r="I347" s="23"/>
      <c r="J347" s="47"/>
      <c r="K347" s="88" t="s">
        <v>60</v>
      </c>
      <c r="L347" s="54">
        <v>20</v>
      </c>
      <c r="M347" s="17"/>
      <c r="N347" s="17">
        <f t="shared" si="52"/>
        <v>0</v>
      </c>
      <c r="O347" s="56"/>
    </row>
    <row r="348" spans="1:15" ht="15" customHeight="1" x14ac:dyDescent="0.25">
      <c r="A348" s="26" t="str">
        <f>IF(K348="","",MAX(A$2:A347)+1)</f>
        <v/>
      </c>
      <c r="B348" s="14"/>
      <c r="C348" s="21"/>
      <c r="D348" s="23"/>
      <c r="E348" s="23"/>
      <c r="F348" s="23"/>
      <c r="G348" s="23"/>
      <c r="H348" s="23"/>
      <c r="I348" s="23"/>
      <c r="J348" s="47"/>
      <c r="K348" s="88"/>
      <c r="L348" s="54"/>
      <c r="M348" s="17"/>
      <c r="N348" s="17">
        <f t="shared" si="52"/>
        <v>0</v>
      </c>
      <c r="O348" s="56"/>
    </row>
    <row r="349" spans="1:15" ht="15" customHeight="1" x14ac:dyDescent="0.25">
      <c r="A349" s="26" t="str">
        <f>IF(K349="","",MAX(A$2:A348)+1)</f>
        <v/>
      </c>
      <c r="B349" s="14" t="s">
        <v>412</v>
      </c>
      <c r="C349" s="21" t="s">
        <v>69</v>
      </c>
      <c r="D349" s="23"/>
      <c r="E349" s="23"/>
      <c r="F349" s="23"/>
      <c r="G349" s="23"/>
      <c r="H349" s="23"/>
      <c r="I349" s="23"/>
      <c r="J349" s="47"/>
      <c r="K349" s="88"/>
      <c r="L349" s="54"/>
      <c r="M349" s="17"/>
      <c r="N349" s="17">
        <f t="shared" si="52"/>
        <v>0</v>
      </c>
      <c r="O349" s="56"/>
    </row>
    <row r="350" spans="1:15" ht="15" customHeight="1" collapsed="1" x14ac:dyDescent="0.25">
      <c r="A350" s="26">
        <f>IF(K350="","",MAX(A$2:A349)+1)</f>
        <v>79</v>
      </c>
      <c r="B350" s="14"/>
      <c r="C350" s="23" t="s">
        <v>183</v>
      </c>
      <c r="D350" s="23"/>
      <c r="E350" s="23"/>
      <c r="F350" s="23"/>
      <c r="G350" s="23"/>
      <c r="H350" s="23"/>
      <c r="I350" s="23"/>
      <c r="J350" s="47"/>
      <c r="K350" s="88" t="s">
        <v>60</v>
      </c>
      <c r="L350" s="54">
        <v>14</v>
      </c>
      <c r="M350" s="17"/>
      <c r="N350" s="17">
        <f t="shared" si="52"/>
        <v>0</v>
      </c>
      <c r="O350" s="56"/>
    </row>
    <row r="351" spans="1:15" s="119" customFormat="1" ht="13.15" hidden="1" customHeight="1" outlineLevel="1" x14ac:dyDescent="0.25">
      <c r="A351" s="26" t="str">
        <f>IF(K351="","",MAX(A$2:A350)+1)</f>
        <v/>
      </c>
      <c r="B351" s="205"/>
      <c r="C351" s="152" t="s">
        <v>247</v>
      </c>
      <c r="D351" s="149"/>
      <c r="E351" s="153"/>
      <c r="F351" s="153"/>
      <c r="G351" s="153"/>
      <c r="H351" s="154" t="s">
        <v>12</v>
      </c>
      <c r="I351" s="186">
        <v>6</v>
      </c>
      <c r="J351" s="155"/>
      <c r="K351" s="150"/>
      <c r="L351" s="118"/>
      <c r="M351" s="118"/>
      <c r="N351" s="118">
        <f>+M351*L351</f>
        <v>0</v>
      </c>
      <c r="O351" s="156"/>
    </row>
    <row r="352" spans="1:15" s="119" customFormat="1" ht="13.15" hidden="1" customHeight="1" outlineLevel="1" x14ac:dyDescent="0.25">
      <c r="A352" s="26" t="str">
        <f>IF(K352="","",MAX(A$2:A351)+1)</f>
        <v/>
      </c>
      <c r="B352" s="205"/>
      <c r="C352" s="152" t="s">
        <v>176</v>
      </c>
      <c r="D352" s="149"/>
      <c r="E352" s="153"/>
      <c r="F352" s="153"/>
      <c r="G352" s="153"/>
      <c r="H352" s="154" t="s">
        <v>12</v>
      </c>
      <c r="I352" s="186">
        <v>2</v>
      </c>
      <c r="J352" s="155"/>
      <c r="K352" s="150"/>
      <c r="L352" s="118"/>
      <c r="M352" s="118"/>
      <c r="N352" s="118">
        <f>+M352*L352</f>
        <v>0</v>
      </c>
      <c r="O352" s="156"/>
    </row>
    <row r="353" spans="1:15" s="119" customFormat="1" ht="13.15" hidden="1" customHeight="1" outlineLevel="1" x14ac:dyDescent="0.25">
      <c r="A353" s="26" t="str">
        <f>IF(K353="","",MAX(A$2:A352)+1)</f>
        <v/>
      </c>
      <c r="B353" s="205"/>
      <c r="C353" s="152" t="s">
        <v>241</v>
      </c>
      <c r="D353" s="149"/>
      <c r="E353" s="153"/>
      <c r="F353" s="153"/>
      <c r="G353" s="153"/>
      <c r="H353" s="154" t="s">
        <v>12</v>
      </c>
      <c r="I353" s="186">
        <v>6</v>
      </c>
      <c r="J353" s="155"/>
      <c r="K353" s="150"/>
      <c r="L353" s="118"/>
      <c r="M353" s="118"/>
      <c r="N353" s="118">
        <f>+M353*L353</f>
        <v>0</v>
      </c>
      <c r="O353" s="156"/>
    </row>
    <row r="354" spans="1:15" s="119" customFormat="1" ht="13.15" hidden="1" customHeight="1" outlineLevel="1" x14ac:dyDescent="0.25">
      <c r="A354" s="26" t="str">
        <f>IF(K354="","",MAX(A$2:A353)+1)</f>
        <v/>
      </c>
      <c r="B354" s="205"/>
      <c r="C354" s="152" t="s">
        <v>177</v>
      </c>
      <c r="D354" s="149"/>
      <c r="E354" s="153"/>
      <c r="F354" s="153"/>
      <c r="G354" s="153"/>
      <c r="H354" s="154" t="s">
        <v>12</v>
      </c>
      <c r="I354" s="186" t="s">
        <v>172</v>
      </c>
      <c r="J354" s="155"/>
      <c r="K354" s="150"/>
      <c r="L354" s="118"/>
      <c r="M354" s="118"/>
      <c r="N354" s="118">
        <f>+M354*L354</f>
        <v>0</v>
      </c>
      <c r="O354" s="156"/>
    </row>
    <row r="355" spans="1:15" ht="6" hidden="1" customHeight="1" outlineLevel="1" x14ac:dyDescent="0.25">
      <c r="A355" s="26" t="str">
        <f>IF(K355="","",MAX(A$2:A354)+1)</f>
        <v/>
      </c>
      <c r="B355" s="14"/>
      <c r="C355" s="24"/>
      <c r="D355" s="5"/>
      <c r="E355" s="46"/>
      <c r="F355" s="41"/>
      <c r="G355" s="41"/>
      <c r="H355" s="103"/>
      <c r="I355" s="46"/>
      <c r="J355" s="91"/>
      <c r="K355" s="88"/>
      <c r="L355" s="17"/>
      <c r="M355" s="17"/>
      <c r="N355" s="17"/>
      <c r="O355" s="104"/>
    </row>
    <row r="356" spans="1:15" ht="13.15" hidden="1" customHeight="1" outlineLevel="1" x14ac:dyDescent="0.25">
      <c r="A356" s="26" t="str">
        <f>IF(K356="","",MAX(A$2:A355)+1)</f>
        <v/>
      </c>
      <c r="B356" s="14"/>
      <c r="C356" s="42"/>
      <c r="D356" s="5"/>
      <c r="E356" s="46"/>
      <c r="F356" s="41"/>
      <c r="G356" s="41"/>
      <c r="H356" s="103"/>
      <c r="I356" s="187">
        <f>SUM(I351:I354)</f>
        <v>14</v>
      </c>
      <c r="J356" s="91"/>
      <c r="K356" s="88"/>
      <c r="L356" s="17"/>
      <c r="M356" s="17"/>
      <c r="N356" s="17">
        <f>+M356*L356</f>
        <v>0</v>
      </c>
      <c r="O356" s="104"/>
    </row>
    <row r="357" spans="1:15" ht="15" customHeight="1" x14ac:dyDescent="0.25">
      <c r="A357" s="26" t="str">
        <f>IF(K357="","",MAX(A$2:A356)+1)</f>
        <v/>
      </c>
      <c r="B357" s="14"/>
      <c r="C357" s="29"/>
      <c r="J357" s="92"/>
      <c r="K357" s="88"/>
      <c r="L357" s="17"/>
      <c r="M357" s="17"/>
      <c r="N357" s="17"/>
      <c r="O357" s="56"/>
    </row>
    <row r="358" spans="1:15" ht="15" customHeight="1" x14ac:dyDescent="0.25">
      <c r="A358" s="26" t="str">
        <f>IF(K358="","",MAX(A$2:A357)+1)</f>
        <v/>
      </c>
      <c r="B358" s="14" t="s">
        <v>420</v>
      </c>
      <c r="C358" s="21" t="s">
        <v>186</v>
      </c>
      <c r="D358" s="23"/>
      <c r="E358" s="23"/>
      <c r="F358" s="23"/>
      <c r="G358" s="23"/>
      <c r="H358" s="23"/>
      <c r="I358" s="23"/>
      <c r="J358" s="47"/>
      <c r="K358" s="88"/>
      <c r="L358" s="17"/>
      <c r="M358" s="17"/>
      <c r="N358" s="17">
        <f>M358*L358</f>
        <v>0</v>
      </c>
      <c r="O358" s="56"/>
    </row>
    <row r="359" spans="1:15" ht="15" customHeight="1" x14ac:dyDescent="0.25">
      <c r="A359" s="26" t="str">
        <f>IF(K359="","",MAX(A$2:A358)+1)</f>
        <v/>
      </c>
      <c r="B359" s="14"/>
      <c r="C359" s="23" t="s">
        <v>187</v>
      </c>
      <c r="D359" s="23"/>
      <c r="E359" s="23"/>
      <c r="F359" s="23"/>
      <c r="G359" s="23"/>
      <c r="H359" s="23"/>
      <c r="I359" s="23"/>
      <c r="J359" s="47"/>
      <c r="K359" s="88"/>
      <c r="L359" s="54"/>
      <c r="M359" s="17"/>
      <c r="N359" s="17"/>
      <c r="O359" s="56"/>
    </row>
    <row r="360" spans="1:15" ht="15" customHeight="1" x14ac:dyDescent="0.25">
      <c r="A360" s="26">
        <f>IF(K360="","",MAX(A$2:A359)+1)</f>
        <v>80</v>
      </c>
      <c r="B360" s="14"/>
      <c r="C360" s="43" t="s">
        <v>435</v>
      </c>
      <c r="D360" s="23"/>
      <c r="E360" s="23"/>
      <c r="F360" s="23"/>
      <c r="G360" s="23"/>
      <c r="H360" s="23"/>
      <c r="I360" s="23"/>
      <c r="J360" s="47"/>
      <c r="K360" s="88" t="s">
        <v>15</v>
      </c>
      <c r="L360" s="54">
        <v>1</v>
      </c>
      <c r="M360" s="17"/>
      <c r="N360" s="17">
        <f>M360*L360</f>
        <v>0</v>
      </c>
      <c r="O360" s="56"/>
    </row>
    <row r="361" spans="1:15" ht="15" customHeight="1" x14ac:dyDescent="0.25">
      <c r="A361" s="26">
        <f>IF(K361="","",MAX(A$2:A360)+1)</f>
        <v>81</v>
      </c>
      <c r="B361" s="14"/>
      <c r="C361" s="43" t="s">
        <v>436</v>
      </c>
      <c r="D361" s="23"/>
      <c r="E361" s="23"/>
      <c r="F361" s="23"/>
      <c r="G361" s="23"/>
      <c r="H361" s="23"/>
      <c r="I361" s="23"/>
      <c r="J361" s="47"/>
      <c r="K361" s="88" t="s">
        <v>15</v>
      </c>
      <c r="L361" s="54">
        <v>1</v>
      </c>
      <c r="M361" s="17"/>
      <c r="N361" s="17">
        <f>M361*L361</f>
        <v>0</v>
      </c>
      <c r="O361" s="56"/>
    </row>
    <row r="362" spans="1:15" ht="15" customHeight="1" x14ac:dyDescent="0.25">
      <c r="A362" s="26">
        <f>IF(K362="","",MAX(A$2:A361)+1)</f>
        <v>82</v>
      </c>
      <c r="B362" s="14"/>
      <c r="C362" s="43" t="s">
        <v>434</v>
      </c>
      <c r="D362" s="23"/>
      <c r="E362" s="23"/>
      <c r="F362" s="23"/>
      <c r="G362" s="23"/>
      <c r="H362" s="23"/>
      <c r="I362" s="23"/>
      <c r="J362" s="47"/>
      <c r="K362" s="88" t="s">
        <v>15</v>
      </c>
      <c r="L362" s="54">
        <v>1</v>
      </c>
      <c r="M362" s="17"/>
      <c r="N362" s="17">
        <f>M362*L362</f>
        <v>0</v>
      </c>
      <c r="O362" s="56"/>
    </row>
    <row r="363" spans="1:15" ht="15" customHeight="1" x14ac:dyDescent="0.25">
      <c r="A363" s="26" t="str">
        <f>IF(K363="","",MAX(A$2:A362)+1)</f>
        <v/>
      </c>
      <c r="B363" s="14"/>
      <c r="C363" s="29"/>
      <c r="J363" s="92"/>
      <c r="K363" s="88"/>
      <c r="L363" s="17"/>
      <c r="M363" s="17"/>
      <c r="N363" s="17">
        <f t="shared" ref="N363" si="53">+M363*L363</f>
        <v>0</v>
      </c>
      <c r="O363" s="56"/>
    </row>
    <row r="364" spans="1:15" ht="15" customHeight="1" x14ac:dyDescent="0.25">
      <c r="A364" s="26" t="str">
        <f>IF(K364="","",MAX(A$2:A363)+1)</f>
        <v/>
      </c>
      <c r="B364" s="14" t="s">
        <v>413</v>
      </c>
      <c r="C364" s="21" t="s">
        <v>370</v>
      </c>
      <c r="D364" s="106"/>
      <c r="E364" s="106"/>
      <c r="F364" s="106"/>
      <c r="G364" s="106"/>
      <c r="H364" s="106"/>
      <c r="I364" s="106"/>
      <c r="J364" s="107"/>
      <c r="K364" s="88"/>
      <c r="L364" s="54"/>
      <c r="M364" s="17"/>
      <c r="N364" s="17"/>
      <c r="O364" s="56"/>
    </row>
    <row r="365" spans="1:15" ht="15" customHeight="1" collapsed="1" x14ac:dyDescent="0.25">
      <c r="A365" s="26">
        <f>IF(K365="","",MAX(A$2:A364)+1)</f>
        <v>83</v>
      </c>
      <c r="B365" s="14"/>
      <c r="C365" s="23" t="s">
        <v>371</v>
      </c>
      <c r="D365" s="106"/>
      <c r="E365" s="106"/>
      <c r="F365" s="106"/>
      <c r="G365" s="106"/>
      <c r="H365" s="106"/>
      <c r="I365" s="106"/>
      <c r="J365" s="107"/>
      <c r="K365" s="88" t="s">
        <v>27</v>
      </c>
      <c r="L365" s="17">
        <v>30</v>
      </c>
      <c r="M365" s="17"/>
      <c r="N365" s="17">
        <f t="shared" ref="N365:N369" si="54">+M365*L365</f>
        <v>0</v>
      </c>
      <c r="O365" s="56"/>
    </row>
    <row r="366" spans="1:15" s="119" customFormat="1" ht="13.15" hidden="1" customHeight="1" outlineLevel="1" x14ac:dyDescent="0.25">
      <c r="A366" s="26" t="str">
        <f>IF(K366="","",MAX(A$2:A365)+1)</f>
        <v/>
      </c>
      <c r="B366" s="205"/>
      <c r="C366" s="152" t="s">
        <v>255</v>
      </c>
      <c r="D366" s="149"/>
      <c r="E366" s="153"/>
      <c r="F366" s="153"/>
      <c r="G366" s="153"/>
      <c r="H366" s="154" t="s">
        <v>12</v>
      </c>
      <c r="I366" s="153">
        <v>8.5</v>
      </c>
      <c r="J366" s="155"/>
      <c r="K366" s="150"/>
      <c r="L366" s="118"/>
      <c r="M366" s="118"/>
      <c r="N366" s="118">
        <f t="shared" si="54"/>
        <v>0</v>
      </c>
      <c r="O366" s="156"/>
    </row>
    <row r="367" spans="1:15" s="119" customFormat="1" ht="13.15" hidden="1" customHeight="1" outlineLevel="1" x14ac:dyDescent="0.25">
      <c r="A367" s="26" t="str">
        <f>IF(K367="","",MAX(A$2:A366)+1)</f>
        <v/>
      </c>
      <c r="B367" s="205"/>
      <c r="C367" s="152" t="s">
        <v>176</v>
      </c>
      <c r="D367" s="149"/>
      <c r="E367" s="153"/>
      <c r="F367" s="153"/>
      <c r="G367" s="153"/>
      <c r="H367" s="154" t="s">
        <v>12</v>
      </c>
      <c r="I367" s="153" t="s">
        <v>172</v>
      </c>
      <c r="J367" s="155"/>
      <c r="K367" s="150"/>
      <c r="L367" s="118"/>
      <c r="M367" s="118"/>
      <c r="N367" s="118">
        <f t="shared" si="54"/>
        <v>0</v>
      </c>
      <c r="O367" s="156"/>
    </row>
    <row r="368" spans="1:15" s="119" customFormat="1" ht="13.15" hidden="1" customHeight="1" outlineLevel="1" x14ac:dyDescent="0.25">
      <c r="A368" s="26" t="str">
        <f>IF(K368="","",MAX(A$2:A367)+1)</f>
        <v/>
      </c>
      <c r="B368" s="205"/>
      <c r="C368" s="152" t="s">
        <v>241</v>
      </c>
      <c r="D368" s="149"/>
      <c r="E368" s="153"/>
      <c r="F368" s="153"/>
      <c r="G368" s="153"/>
      <c r="H368" s="154" t="s">
        <v>12</v>
      </c>
      <c r="I368" s="153">
        <f>ROUNDUP(1.2*3+6,)</f>
        <v>10</v>
      </c>
      <c r="J368" s="155"/>
      <c r="K368" s="150"/>
      <c r="L368" s="118"/>
      <c r="M368" s="118"/>
      <c r="N368" s="118">
        <f t="shared" si="54"/>
        <v>0</v>
      </c>
      <c r="O368" s="156"/>
    </row>
    <row r="369" spans="1:16" s="119" customFormat="1" ht="13.15" hidden="1" customHeight="1" outlineLevel="1" x14ac:dyDescent="0.25">
      <c r="A369" s="26" t="str">
        <f>IF(K369="","",MAX(A$2:A368)+1)</f>
        <v/>
      </c>
      <c r="B369" s="205"/>
      <c r="C369" s="152" t="s">
        <v>177</v>
      </c>
      <c r="D369" s="149"/>
      <c r="E369" s="153"/>
      <c r="F369" s="153"/>
      <c r="G369" s="153"/>
      <c r="H369" s="154" t="s">
        <v>12</v>
      </c>
      <c r="I369" s="153">
        <v>9.1</v>
      </c>
      <c r="J369" s="155"/>
      <c r="K369" s="150"/>
      <c r="L369" s="118"/>
      <c r="M369" s="118"/>
      <c r="N369" s="118">
        <f t="shared" si="54"/>
        <v>0</v>
      </c>
      <c r="O369" s="156"/>
    </row>
    <row r="370" spans="1:16" ht="6" hidden="1" customHeight="1" outlineLevel="1" x14ac:dyDescent="0.25">
      <c r="A370" s="26" t="str">
        <f>IF(K370="","",MAX(A$2:A369)+1)</f>
        <v/>
      </c>
      <c r="B370" s="14"/>
      <c r="C370" s="24"/>
      <c r="D370" s="5"/>
      <c r="E370" s="46"/>
      <c r="F370" s="41"/>
      <c r="G370" s="41"/>
      <c r="H370" s="103"/>
      <c r="I370" s="41"/>
      <c r="J370" s="91"/>
      <c r="K370" s="88"/>
      <c r="L370" s="17"/>
      <c r="M370" s="17"/>
      <c r="N370" s="17"/>
      <c r="O370" s="104"/>
    </row>
    <row r="371" spans="1:16" ht="13.15" hidden="1" customHeight="1" outlineLevel="1" x14ac:dyDescent="0.25">
      <c r="A371" s="26" t="str">
        <f>IF(K371="","",MAX(A$2:A370)+1)</f>
        <v/>
      </c>
      <c r="B371" s="14"/>
      <c r="C371" s="42"/>
      <c r="D371" s="5"/>
      <c r="E371" s="46"/>
      <c r="F371" s="41"/>
      <c r="G371" s="41"/>
      <c r="H371" s="103"/>
      <c r="I371" s="132">
        <f>SUM(I366:I369)</f>
        <v>27.6</v>
      </c>
      <c r="J371" s="91"/>
      <c r="K371" s="88"/>
      <c r="L371" s="17"/>
      <c r="M371" s="17"/>
      <c r="N371" s="17">
        <f t="shared" ref="N371" si="55">+M371*L371</f>
        <v>0</v>
      </c>
      <c r="O371" s="104"/>
    </row>
    <row r="372" spans="1:16" ht="15" customHeight="1" x14ac:dyDescent="0.25">
      <c r="A372" s="26" t="str">
        <f>IF(K372="","",MAX(A$2:A371)+1)</f>
        <v/>
      </c>
      <c r="B372" s="14"/>
      <c r="C372" s="43"/>
      <c r="D372" s="106"/>
      <c r="E372" s="106"/>
      <c r="F372" s="106"/>
      <c r="G372" s="106"/>
      <c r="H372" s="106"/>
      <c r="I372" s="106"/>
      <c r="J372" s="107"/>
      <c r="K372" s="88"/>
      <c r="L372" s="54"/>
      <c r="M372" s="17"/>
      <c r="N372" s="17">
        <f t="shared" ref="N372:N373" si="56">+M372*L372</f>
        <v>0</v>
      </c>
      <c r="O372" s="56"/>
    </row>
    <row r="373" spans="1:16" ht="15" customHeight="1" x14ac:dyDescent="0.25">
      <c r="A373" s="26" t="str">
        <f>IF(K373="","",MAX(A$2:A372)+1)</f>
        <v/>
      </c>
      <c r="B373" s="14" t="s">
        <v>414</v>
      </c>
      <c r="C373" s="21" t="s">
        <v>48</v>
      </c>
      <c r="D373" s="5"/>
      <c r="E373" s="5"/>
      <c r="F373" s="5"/>
      <c r="G373" s="5"/>
      <c r="H373" s="5"/>
      <c r="I373" s="5"/>
      <c r="J373" s="88"/>
      <c r="K373" s="88"/>
      <c r="L373" s="17"/>
      <c r="M373" s="17"/>
      <c r="N373" s="17">
        <f t="shared" si="56"/>
        <v>0</v>
      </c>
      <c r="O373" s="56"/>
    </row>
    <row r="374" spans="1:16" ht="15" customHeight="1" collapsed="1" x14ac:dyDescent="0.25">
      <c r="A374" s="26">
        <f>IF(K374="","",MAX(A$2:A373)+1)</f>
        <v>84</v>
      </c>
      <c r="B374" s="14"/>
      <c r="C374" s="43" t="s">
        <v>372</v>
      </c>
      <c r="D374" s="106"/>
      <c r="E374" s="106"/>
      <c r="F374" s="106"/>
      <c r="G374" s="106"/>
      <c r="H374" s="106"/>
      <c r="I374" s="106"/>
      <c r="J374" s="107"/>
      <c r="K374" s="88" t="s">
        <v>27</v>
      </c>
      <c r="L374" s="17">
        <v>40</v>
      </c>
      <c r="M374" s="17"/>
      <c r="N374" s="17">
        <f>+M374*L374</f>
        <v>0</v>
      </c>
      <c r="O374" s="56"/>
      <c r="P374" s="64"/>
    </row>
    <row r="375" spans="1:16" s="119" customFormat="1" ht="13.15" hidden="1" customHeight="1" outlineLevel="1" x14ac:dyDescent="0.25">
      <c r="A375" s="26" t="str">
        <f>IF(K375="","",MAX(A$2:A374)+1)</f>
        <v/>
      </c>
      <c r="B375" s="205"/>
      <c r="C375" s="152" t="s">
        <v>255</v>
      </c>
      <c r="D375" s="149"/>
      <c r="E375" s="153"/>
      <c r="F375" s="153"/>
      <c r="G375" s="153"/>
      <c r="H375" s="154" t="s">
        <v>12</v>
      </c>
      <c r="I375" s="153">
        <f>9*2</f>
        <v>18</v>
      </c>
      <c r="J375" s="155"/>
      <c r="K375" s="150"/>
      <c r="L375" s="118"/>
      <c r="M375" s="118"/>
      <c r="N375" s="118">
        <f t="shared" ref="N375:N378" si="57">+M375*L375</f>
        <v>0</v>
      </c>
      <c r="O375" s="156"/>
    </row>
    <row r="376" spans="1:16" s="119" customFormat="1" ht="13.15" hidden="1" customHeight="1" outlineLevel="1" x14ac:dyDescent="0.25">
      <c r="A376" s="26" t="str">
        <f>IF(K376="","",MAX(A$2:A375)+1)</f>
        <v/>
      </c>
      <c r="B376" s="205"/>
      <c r="C376" s="152" t="s">
        <v>176</v>
      </c>
      <c r="D376" s="149"/>
      <c r="E376" s="153"/>
      <c r="F376" s="153"/>
      <c r="G376" s="153"/>
      <c r="H376" s="154" t="s">
        <v>12</v>
      </c>
      <c r="I376" s="153" t="s">
        <v>172</v>
      </c>
      <c r="J376" s="155"/>
      <c r="K376" s="150"/>
      <c r="L376" s="118"/>
      <c r="M376" s="118"/>
      <c r="N376" s="118">
        <f t="shared" si="57"/>
        <v>0</v>
      </c>
      <c r="O376" s="156"/>
    </row>
    <row r="377" spans="1:16" s="119" customFormat="1" ht="13.15" hidden="1" customHeight="1" outlineLevel="1" x14ac:dyDescent="0.25">
      <c r="A377" s="26" t="str">
        <f>IF(K377="","",MAX(A$2:A376)+1)</f>
        <v/>
      </c>
      <c r="B377" s="205"/>
      <c r="C377" s="152" t="s">
        <v>241</v>
      </c>
      <c r="D377" s="149"/>
      <c r="E377" s="153"/>
      <c r="F377" s="153"/>
      <c r="G377" s="153"/>
      <c r="H377" s="154" t="s">
        <v>12</v>
      </c>
      <c r="I377" s="153">
        <f>5.8+8+2+2.4</f>
        <v>18.2</v>
      </c>
      <c r="J377" s="155"/>
      <c r="K377" s="150"/>
      <c r="L377" s="118"/>
      <c r="M377" s="118"/>
      <c r="N377" s="118">
        <f t="shared" si="57"/>
        <v>0</v>
      </c>
      <c r="O377" s="156"/>
    </row>
    <row r="378" spans="1:16" s="119" customFormat="1" ht="13.15" hidden="1" customHeight="1" outlineLevel="1" x14ac:dyDescent="0.25">
      <c r="A378" s="26" t="str">
        <f>IF(K378="","",MAX(A$2:A377)+1)</f>
        <v/>
      </c>
      <c r="B378" s="205"/>
      <c r="C378" s="152" t="s">
        <v>177</v>
      </c>
      <c r="D378" s="149"/>
      <c r="E378" s="153"/>
      <c r="F378" s="153"/>
      <c r="G378" s="153"/>
      <c r="H378" s="154" t="s">
        <v>12</v>
      </c>
      <c r="I378" s="153">
        <v>1.8</v>
      </c>
      <c r="J378" s="155"/>
      <c r="K378" s="150"/>
      <c r="L378" s="118"/>
      <c r="M378" s="118"/>
      <c r="N378" s="118">
        <f t="shared" si="57"/>
        <v>0</v>
      </c>
      <c r="O378" s="156"/>
    </row>
    <row r="379" spans="1:16" ht="6" hidden="1" customHeight="1" outlineLevel="1" x14ac:dyDescent="0.25">
      <c r="A379" s="26" t="str">
        <f>IF(K379="","",MAX(A$2:A378)+1)</f>
        <v/>
      </c>
      <c r="B379" s="14"/>
      <c r="C379" s="24"/>
      <c r="D379" s="5"/>
      <c r="E379" s="46"/>
      <c r="F379" s="41"/>
      <c r="G379" s="41"/>
      <c r="H379" s="103"/>
      <c r="I379" s="41"/>
      <c r="J379" s="91"/>
      <c r="K379" s="88"/>
      <c r="L379" s="17"/>
      <c r="M379" s="17"/>
      <c r="N379" s="17"/>
      <c r="O379" s="104"/>
    </row>
    <row r="380" spans="1:16" ht="13.15" hidden="1" customHeight="1" outlineLevel="1" x14ac:dyDescent="0.25">
      <c r="A380" s="26" t="str">
        <f>IF(K380="","",MAX(A$2:A379)+1)</f>
        <v/>
      </c>
      <c r="B380" s="14"/>
      <c r="C380" s="42"/>
      <c r="D380" s="5"/>
      <c r="E380" s="46"/>
      <c r="F380" s="41"/>
      <c r="G380" s="41"/>
      <c r="H380" s="103"/>
      <c r="I380" s="132">
        <f>SUM(I375:I378)</f>
        <v>38</v>
      </c>
      <c r="J380" s="91"/>
      <c r="K380" s="88"/>
      <c r="L380" s="17"/>
      <c r="M380" s="17"/>
      <c r="N380" s="17">
        <f t="shared" ref="N380" si="58">+M380*L380</f>
        <v>0</v>
      </c>
      <c r="O380" s="104"/>
    </row>
    <row r="381" spans="1:16" ht="15" customHeight="1" collapsed="1" x14ac:dyDescent="0.25">
      <c r="A381" s="26">
        <f>IF(K381="","",MAX(A$2:A380)+1)</f>
        <v>85</v>
      </c>
      <c r="B381" s="14"/>
      <c r="C381" s="43" t="s">
        <v>49</v>
      </c>
      <c r="D381" s="106"/>
      <c r="E381" s="106"/>
      <c r="F381" s="106"/>
      <c r="G381" s="106"/>
      <c r="H381" s="106"/>
      <c r="I381" s="106"/>
      <c r="J381" s="107"/>
      <c r="K381" s="88" t="s">
        <v>60</v>
      </c>
      <c r="L381" s="54">
        <f>I387</f>
        <v>4</v>
      </c>
      <c r="M381" s="17"/>
      <c r="N381" s="17">
        <f t="shared" ref="N381:N385" si="59">+M381*L381</f>
        <v>0</v>
      </c>
      <c r="O381" s="56"/>
    </row>
    <row r="382" spans="1:16" s="119" customFormat="1" ht="13.15" hidden="1" customHeight="1" outlineLevel="1" x14ac:dyDescent="0.25">
      <c r="A382" s="26" t="str">
        <f>IF(K382="","",MAX(A$2:A381)+1)</f>
        <v/>
      </c>
      <c r="B382" s="205"/>
      <c r="C382" s="152" t="s">
        <v>255</v>
      </c>
      <c r="D382" s="149"/>
      <c r="E382" s="153"/>
      <c r="F382" s="153"/>
      <c r="G382" s="153"/>
      <c r="H382" s="154" t="s">
        <v>12</v>
      </c>
      <c r="I382" s="186">
        <v>2</v>
      </c>
      <c r="J382" s="155"/>
      <c r="K382" s="150"/>
      <c r="L382" s="118"/>
      <c r="M382" s="118"/>
      <c r="N382" s="118">
        <f t="shared" si="59"/>
        <v>0</v>
      </c>
      <c r="O382" s="156"/>
    </row>
    <row r="383" spans="1:16" s="119" customFormat="1" ht="13.15" hidden="1" customHeight="1" outlineLevel="1" x14ac:dyDescent="0.25">
      <c r="A383" s="26" t="str">
        <f>IF(K383="","",MAX(A$2:A382)+1)</f>
        <v/>
      </c>
      <c r="B383" s="205"/>
      <c r="C383" s="152" t="s">
        <v>176</v>
      </c>
      <c r="D383" s="149"/>
      <c r="E383" s="153"/>
      <c r="F383" s="153"/>
      <c r="G383" s="153"/>
      <c r="H383" s="154" t="s">
        <v>12</v>
      </c>
      <c r="I383" s="153" t="s">
        <v>172</v>
      </c>
      <c r="J383" s="155"/>
      <c r="K383" s="150"/>
      <c r="L383" s="118"/>
      <c r="M383" s="118"/>
      <c r="N383" s="118">
        <f t="shared" si="59"/>
        <v>0</v>
      </c>
      <c r="O383" s="156"/>
    </row>
    <row r="384" spans="1:16" s="119" customFormat="1" ht="13.15" hidden="1" customHeight="1" outlineLevel="1" x14ac:dyDescent="0.25">
      <c r="A384" s="26" t="str">
        <f>IF(K384="","",MAX(A$2:A383)+1)</f>
        <v/>
      </c>
      <c r="B384" s="205"/>
      <c r="C384" s="152" t="s">
        <v>241</v>
      </c>
      <c r="D384" s="149"/>
      <c r="E384" s="153"/>
      <c r="F384" s="153"/>
      <c r="G384" s="153"/>
      <c r="H384" s="154" t="s">
        <v>12</v>
      </c>
      <c r="I384" s="186">
        <v>2</v>
      </c>
      <c r="J384" s="155"/>
      <c r="K384" s="150"/>
      <c r="L384" s="118"/>
      <c r="M384" s="118"/>
      <c r="N384" s="118">
        <f t="shared" si="59"/>
        <v>0</v>
      </c>
      <c r="O384" s="156"/>
    </row>
    <row r="385" spans="1:15" s="119" customFormat="1" ht="13.15" hidden="1" customHeight="1" outlineLevel="1" x14ac:dyDescent="0.25">
      <c r="A385" s="26" t="str">
        <f>IF(K385="","",MAX(A$2:A384)+1)</f>
        <v/>
      </c>
      <c r="B385" s="205"/>
      <c r="C385" s="152" t="s">
        <v>177</v>
      </c>
      <c r="D385" s="149"/>
      <c r="E385" s="153"/>
      <c r="F385" s="153"/>
      <c r="G385" s="153"/>
      <c r="H385" s="154" t="s">
        <v>12</v>
      </c>
      <c r="I385" s="153" t="s">
        <v>172</v>
      </c>
      <c r="J385" s="155"/>
      <c r="K385" s="150"/>
      <c r="L385" s="118"/>
      <c r="M385" s="118"/>
      <c r="N385" s="118">
        <f t="shared" si="59"/>
        <v>0</v>
      </c>
      <c r="O385" s="156"/>
    </row>
    <row r="386" spans="1:15" ht="6" hidden="1" customHeight="1" outlineLevel="1" x14ac:dyDescent="0.25">
      <c r="A386" s="26" t="str">
        <f>IF(K386="","",MAX(A$2:A385)+1)</f>
        <v/>
      </c>
      <c r="B386" s="14"/>
      <c r="C386" s="24"/>
      <c r="D386" s="5"/>
      <c r="E386" s="46"/>
      <c r="F386" s="41"/>
      <c r="G386" s="41"/>
      <c r="H386" s="103"/>
      <c r="I386" s="41"/>
      <c r="J386" s="91"/>
      <c r="K386" s="88"/>
      <c r="L386" s="17"/>
      <c r="M386" s="17"/>
      <c r="N386" s="17"/>
      <c r="O386" s="104"/>
    </row>
    <row r="387" spans="1:15" ht="13.15" hidden="1" customHeight="1" outlineLevel="1" x14ac:dyDescent="0.25">
      <c r="A387" s="26" t="str">
        <f>IF(K387="","",MAX(A$2:A386)+1)</f>
        <v/>
      </c>
      <c r="B387" s="14"/>
      <c r="C387" s="42"/>
      <c r="D387" s="5"/>
      <c r="E387" s="46"/>
      <c r="F387" s="41"/>
      <c r="G387" s="41"/>
      <c r="H387" s="103"/>
      <c r="I387" s="187">
        <f>SUM(I382:I385)</f>
        <v>4</v>
      </c>
      <c r="J387" s="91"/>
      <c r="K387" s="88"/>
      <c r="L387" s="17"/>
      <c r="M387" s="17"/>
      <c r="N387" s="17">
        <f t="shared" ref="N387" si="60">+M387*L387</f>
        <v>0</v>
      </c>
      <c r="O387" s="104"/>
    </row>
    <row r="388" spans="1:15" ht="15" customHeight="1" collapsed="1" x14ac:dyDescent="0.25">
      <c r="A388" s="26">
        <f>IF(K388="","",MAX(A$2:A387)+1)</f>
        <v>86</v>
      </c>
      <c r="B388" s="14" t="s">
        <v>415</v>
      </c>
      <c r="C388" s="43" t="s">
        <v>136</v>
      </c>
      <c r="D388" s="106"/>
      <c r="E388" s="106"/>
      <c r="F388" s="106"/>
      <c r="G388" s="106"/>
      <c r="H388" s="106"/>
      <c r="I388" s="106"/>
      <c r="J388" s="107"/>
      <c r="K388" s="88" t="s">
        <v>60</v>
      </c>
      <c r="L388" s="54">
        <f>I394</f>
        <v>3</v>
      </c>
      <c r="M388" s="17"/>
      <c r="N388" s="17">
        <f>+M388*L388</f>
        <v>0</v>
      </c>
      <c r="O388" s="56"/>
    </row>
    <row r="389" spans="1:15" s="119" customFormat="1" ht="13.15" hidden="1" customHeight="1" outlineLevel="1" x14ac:dyDescent="0.25">
      <c r="A389" s="26" t="str">
        <f>IF(K389="","",MAX(A$2:A388)+1)</f>
        <v/>
      </c>
      <c r="B389" s="205"/>
      <c r="C389" s="152" t="s">
        <v>255</v>
      </c>
      <c r="D389" s="149"/>
      <c r="E389" s="153"/>
      <c r="F389" s="153"/>
      <c r="G389" s="153"/>
      <c r="H389" s="154" t="s">
        <v>12</v>
      </c>
      <c r="I389" s="153" t="s">
        <v>172</v>
      </c>
      <c r="J389" s="155"/>
      <c r="K389" s="150"/>
      <c r="L389" s="118"/>
      <c r="M389" s="118"/>
      <c r="N389" s="118">
        <f t="shared" ref="N389:N392" si="61">+M389*L389</f>
        <v>0</v>
      </c>
      <c r="O389" s="156"/>
    </row>
    <row r="390" spans="1:15" s="119" customFormat="1" ht="13.15" hidden="1" customHeight="1" outlineLevel="1" x14ac:dyDescent="0.25">
      <c r="A390" s="26" t="str">
        <f>IF(K390="","",MAX(A$2:A389)+1)</f>
        <v/>
      </c>
      <c r="B390" s="205"/>
      <c r="C390" s="152" t="s">
        <v>176</v>
      </c>
      <c r="D390" s="149"/>
      <c r="E390" s="153"/>
      <c r="F390" s="153"/>
      <c r="G390" s="153"/>
      <c r="H390" s="154" t="s">
        <v>12</v>
      </c>
      <c r="I390" s="153" t="s">
        <v>172</v>
      </c>
      <c r="J390" s="155"/>
      <c r="K390" s="150"/>
      <c r="L390" s="118"/>
      <c r="M390" s="118"/>
      <c r="N390" s="118">
        <f t="shared" si="61"/>
        <v>0</v>
      </c>
      <c r="O390" s="156"/>
    </row>
    <row r="391" spans="1:15" s="119" customFormat="1" ht="13.15" hidden="1" customHeight="1" outlineLevel="1" x14ac:dyDescent="0.25">
      <c r="A391" s="26" t="str">
        <f>IF(K391="","",MAX(A$2:A390)+1)</f>
        <v/>
      </c>
      <c r="B391" s="205"/>
      <c r="C391" s="152" t="s">
        <v>241</v>
      </c>
      <c r="D391" s="149"/>
      <c r="E391" s="153"/>
      <c r="F391" s="153"/>
      <c r="G391" s="153"/>
      <c r="H391" s="154" t="s">
        <v>12</v>
      </c>
      <c r="I391" s="186">
        <v>3</v>
      </c>
      <c r="J391" s="155"/>
      <c r="K391" s="150"/>
      <c r="L391" s="118"/>
      <c r="M391" s="118"/>
      <c r="N391" s="118">
        <f t="shared" si="61"/>
        <v>0</v>
      </c>
      <c r="O391" s="156"/>
    </row>
    <row r="392" spans="1:15" s="119" customFormat="1" ht="13.15" hidden="1" customHeight="1" outlineLevel="1" x14ac:dyDescent="0.25">
      <c r="A392" s="26" t="str">
        <f>IF(K392="","",MAX(A$2:A391)+1)</f>
        <v/>
      </c>
      <c r="B392" s="205"/>
      <c r="C392" s="152" t="s">
        <v>177</v>
      </c>
      <c r="D392" s="149"/>
      <c r="E392" s="153"/>
      <c r="F392" s="153"/>
      <c r="G392" s="153"/>
      <c r="H392" s="154" t="s">
        <v>12</v>
      </c>
      <c r="I392" s="153" t="s">
        <v>172</v>
      </c>
      <c r="J392" s="155"/>
      <c r="K392" s="150"/>
      <c r="L392" s="118"/>
      <c r="M392" s="118"/>
      <c r="N392" s="118">
        <f t="shared" si="61"/>
        <v>0</v>
      </c>
      <c r="O392" s="156"/>
    </row>
    <row r="393" spans="1:15" ht="6" hidden="1" customHeight="1" outlineLevel="1" x14ac:dyDescent="0.25">
      <c r="A393" s="26" t="str">
        <f>IF(K393="","",MAX(A$2:A392)+1)</f>
        <v/>
      </c>
      <c r="B393" s="14"/>
      <c r="C393" s="24"/>
      <c r="D393" s="5"/>
      <c r="E393" s="46"/>
      <c r="F393" s="41"/>
      <c r="G393" s="41"/>
      <c r="H393" s="103"/>
      <c r="I393" s="41"/>
      <c r="J393" s="91"/>
      <c r="K393" s="88"/>
      <c r="L393" s="17"/>
      <c r="M393" s="17"/>
      <c r="N393" s="17"/>
      <c r="O393" s="104"/>
    </row>
    <row r="394" spans="1:15" ht="13.15" hidden="1" customHeight="1" outlineLevel="1" x14ac:dyDescent="0.25">
      <c r="A394" s="26" t="str">
        <f>IF(K394="","",MAX(A$2:A393)+1)</f>
        <v/>
      </c>
      <c r="B394" s="14"/>
      <c r="C394" s="42"/>
      <c r="D394" s="5"/>
      <c r="E394" s="46"/>
      <c r="F394" s="41"/>
      <c r="G394" s="41"/>
      <c r="H394" s="103"/>
      <c r="I394" s="187">
        <f>SUM(I389:I392)</f>
        <v>3</v>
      </c>
      <c r="J394" s="91"/>
      <c r="K394" s="88"/>
      <c r="L394" s="17"/>
      <c r="M394" s="17"/>
      <c r="N394" s="17">
        <f t="shared" ref="N394" si="62">+M394*L394</f>
        <v>0</v>
      </c>
      <c r="O394" s="104"/>
    </row>
    <row r="395" spans="1:15" ht="15" customHeight="1" x14ac:dyDescent="0.25">
      <c r="A395" s="26" t="str">
        <f>IF(K395="","",MAX(A$2:A394)+1)</f>
        <v/>
      </c>
      <c r="B395" s="14"/>
      <c r="C395" s="43"/>
      <c r="D395" s="106"/>
      <c r="E395" s="106"/>
      <c r="F395" s="106"/>
      <c r="G395" s="106"/>
      <c r="H395" s="106"/>
      <c r="I395" s="106"/>
      <c r="J395" s="107"/>
      <c r="K395" s="88"/>
      <c r="L395" s="54"/>
      <c r="M395" s="17"/>
      <c r="N395" s="17"/>
      <c r="O395" s="56"/>
    </row>
    <row r="396" spans="1:15" ht="15" customHeight="1" x14ac:dyDescent="0.25">
      <c r="A396" s="26" t="str">
        <f>IF(K396="","",MAX(A$2:A395)+1)</f>
        <v/>
      </c>
      <c r="B396" s="14" t="s">
        <v>416</v>
      </c>
      <c r="C396" s="21" t="s">
        <v>51</v>
      </c>
      <c r="D396" s="5"/>
      <c r="E396" s="5"/>
      <c r="F396" s="5"/>
      <c r="G396" s="5"/>
      <c r="H396" s="5"/>
      <c r="I396" s="5"/>
      <c r="J396" s="88"/>
      <c r="K396" s="88"/>
      <c r="L396" s="17"/>
      <c r="M396" s="17"/>
      <c r="N396" s="17">
        <f t="shared" ref="N396:N413" si="63">+M396*L396</f>
        <v>0</v>
      </c>
      <c r="O396" s="56"/>
    </row>
    <row r="397" spans="1:15" ht="15" customHeight="1" x14ac:dyDescent="0.25">
      <c r="A397" s="26" t="str">
        <f>IF(K397="","",MAX(A$2:A396)+1)</f>
        <v/>
      </c>
      <c r="B397" s="14"/>
      <c r="C397" s="23" t="s">
        <v>152</v>
      </c>
      <c r="D397" s="5"/>
      <c r="E397" s="5"/>
      <c r="F397" s="5"/>
      <c r="G397" s="5"/>
      <c r="H397" s="5"/>
      <c r="I397" s="5"/>
      <c r="J397" s="88"/>
      <c r="K397" s="88"/>
      <c r="L397" s="17"/>
      <c r="M397" s="17"/>
      <c r="N397" s="17">
        <f t="shared" si="63"/>
        <v>0</v>
      </c>
      <c r="O397" s="56"/>
    </row>
    <row r="398" spans="1:15" ht="15" customHeight="1" x14ac:dyDescent="0.25">
      <c r="A398" s="26">
        <f>IF(K398="","",MAX(A$2:A397)+1)</f>
        <v>87</v>
      </c>
      <c r="B398" s="14"/>
      <c r="C398" s="43" t="s">
        <v>193</v>
      </c>
      <c r="D398" s="5"/>
      <c r="E398" s="5"/>
      <c r="F398" s="5"/>
      <c r="G398" s="5"/>
      <c r="H398" s="5"/>
      <c r="I398" s="5"/>
      <c r="J398" s="88"/>
      <c r="K398" s="88" t="s">
        <v>10</v>
      </c>
      <c r="L398" s="17">
        <v>1</v>
      </c>
      <c r="M398" s="17"/>
      <c r="N398" s="17">
        <f t="shared" ref="N398" si="64">+M398*L398</f>
        <v>0</v>
      </c>
      <c r="O398" s="56"/>
    </row>
    <row r="399" spans="1:15" ht="15" customHeight="1" collapsed="1" x14ac:dyDescent="0.25">
      <c r="A399" s="26">
        <f>IF(K399="","",MAX(A$2:A398)+1)</f>
        <v>88</v>
      </c>
      <c r="B399" s="14"/>
      <c r="C399" s="43" t="s">
        <v>153</v>
      </c>
      <c r="D399" s="5"/>
      <c r="E399" s="5"/>
      <c r="F399" s="5"/>
      <c r="G399" s="5"/>
      <c r="H399" s="5"/>
      <c r="I399" s="5"/>
      <c r="J399" s="88"/>
      <c r="K399" s="88" t="s">
        <v>60</v>
      </c>
      <c r="L399" s="54">
        <f>I405</f>
        <v>20</v>
      </c>
      <c r="M399" s="17"/>
      <c r="N399" s="17">
        <f t="shared" si="63"/>
        <v>0</v>
      </c>
      <c r="O399" s="56"/>
    </row>
    <row r="400" spans="1:15" s="119" customFormat="1" ht="13.15" hidden="1" customHeight="1" outlineLevel="1" x14ac:dyDescent="0.25">
      <c r="A400" s="26" t="str">
        <f>IF(K400="","",MAX(A$2:A399)+1)</f>
        <v/>
      </c>
      <c r="B400" s="205"/>
      <c r="C400" s="152" t="s">
        <v>247</v>
      </c>
      <c r="D400" s="149"/>
      <c r="E400" s="153"/>
      <c r="F400" s="153"/>
      <c r="G400" s="153"/>
      <c r="H400" s="154" t="s">
        <v>12</v>
      </c>
      <c r="I400" s="186">
        <v>10</v>
      </c>
      <c r="J400" s="155"/>
      <c r="K400" s="150"/>
      <c r="L400" s="118"/>
      <c r="M400" s="118"/>
      <c r="N400" s="118">
        <f t="shared" si="63"/>
        <v>0</v>
      </c>
      <c r="O400" s="156"/>
    </row>
    <row r="401" spans="1:15" s="119" customFormat="1" ht="13.15" hidden="1" customHeight="1" outlineLevel="1" x14ac:dyDescent="0.25">
      <c r="A401" s="26" t="str">
        <f>IF(K401="","",MAX(A$2:A400)+1)</f>
        <v/>
      </c>
      <c r="B401" s="205"/>
      <c r="C401" s="152" t="s">
        <v>176</v>
      </c>
      <c r="D401" s="149"/>
      <c r="E401" s="153"/>
      <c r="F401" s="153"/>
      <c r="G401" s="153"/>
      <c r="H401" s="154" t="s">
        <v>12</v>
      </c>
      <c r="I401" s="186">
        <v>8</v>
      </c>
      <c r="J401" s="155"/>
      <c r="K401" s="150"/>
      <c r="L401" s="118"/>
      <c r="M401" s="118"/>
      <c r="N401" s="118">
        <f t="shared" si="63"/>
        <v>0</v>
      </c>
      <c r="O401" s="156"/>
    </row>
    <row r="402" spans="1:15" s="119" customFormat="1" ht="13.15" hidden="1" customHeight="1" outlineLevel="1" x14ac:dyDescent="0.25">
      <c r="A402" s="26" t="str">
        <f>IF(K402="","",MAX(A$2:A401)+1)</f>
        <v/>
      </c>
      <c r="B402" s="205"/>
      <c r="C402" s="152" t="s">
        <v>241</v>
      </c>
      <c r="D402" s="149"/>
      <c r="E402" s="153"/>
      <c r="F402" s="153"/>
      <c r="G402" s="153"/>
      <c r="H402" s="154" t="s">
        <v>12</v>
      </c>
      <c r="I402" s="186" t="s">
        <v>172</v>
      </c>
      <c r="J402" s="155"/>
      <c r="K402" s="150"/>
      <c r="L402" s="118"/>
      <c r="M402" s="118"/>
      <c r="N402" s="118">
        <f t="shared" si="63"/>
        <v>0</v>
      </c>
      <c r="O402" s="156"/>
    </row>
    <row r="403" spans="1:15" s="119" customFormat="1" ht="13.15" hidden="1" customHeight="1" outlineLevel="1" x14ac:dyDescent="0.25">
      <c r="A403" s="26" t="str">
        <f>IF(K403="","",MAX(A$2:A402)+1)</f>
        <v/>
      </c>
      <c r="B403" s="205"/>
      <c r="C403" s="152" t="s">
        <v>177</v>
      </c>
      <c r="D403" s="149"/>
      <c r="E403" s="153"/>
      <c r="F403" s="153"/>
      <c r="G403" s="153"/>
      <c r="H403" s="154" t="s">
        <v>12</v>
      </c>
      <c r="I403" s="186">
        <v>2</v>
      </c>
      <c r="J403" s="155"/>
      <c r="K403" s="150"/>
      <c r="L403" s="118"/>
      <c r="M403" s="118"/>
      <c r="N403" s="118">
        <f t="shared" si="63"/>
        <v>0</v>
      </c>
      <c r="O403" s="156"/>
    </row>
    <row r="404" spans="1:15" ht="6" hidden="1" customHeight="1" outlineLevel="1" x14ac:dyDescent="0.25">
      <c r="A404" s="26" t="str">
        <f>IF(K404="","",MAX(A$2:A403)+1)</f>
        <v/>
      </c>
      <c r="B404" s="14"/>
      <c r="C404" s="24"/>
      <c r="D404" s="5"/>
      <c r="E404" s="46"/>
      <c r="F404" s="41"/>
      <c r="G404" s="41"/>
      <c r="H404" s="103"/>
      <c r="I404" s="46"/>
      <c r="J404" s="91"/>
      <c r="K404" s="88"/>
      <c r="L404" s="17"/>
      <c r="M404" s="17"/>
      <c r="N404" s="17"/>
      <c r="O404" s="104"/>
    </row>
    <row r="405" spans="1:15" ht="13.15" hidden="1" customHeight="1" outlineLevel="1" x14ac:dyDescent="0.25">
      <c r="A405" s="26" t="str">
        <f>IF(K405="","",MAX(A$2:A404)+1)</f>
        <v/>
      </c>
      <c r="B405" s="14"/>
      <c r="C405" s="42"/>
      <c r="D405" s="5"/>
      <c r="E405" s="46"/>
      <c r="F405" s="41"/>
      <c r="G405" s="41"/>
      <c r="H405" s="103"/>
      <c r="I405" s="187">
        <f>SUM(I400:I403)</f>
        <v>20</v>
      </c>
      <c r="J405" s="91"/>
      <c r="K405" s="88"/>
      <c r="L405" s="17"/>
      <c r="M405" s="17"/>
      <c r="N405" s="17">
        <f t="shared" ref="N405" si="65">+M405*L405</f>
        <v>0</v>
      </c>
      <c r="O405" s="104"/>
    </row>
    <row r="406" spans="1:15" ht="15" customHeight="1" collapsed="1" x14ac:dyDescent="0.25">
      <c r="A406" s="26">
        <f>IF(K406="","",MAX(A$2:A405)+1)</f>
        <v>89</v>
      </c>
      <c r="B406" s="14"/>
      <c r="C406" s="43" t="s">
        <v>154</v>
      </c>
      <c r="D406" s="5"/>
      <c r="E406" s="5"/>
      <c r="F406" s="5"/>
      <c r="G406" s="5"/>
      <c r="H406" s="5"/>
      <c r="I406" s="5"/>
      <c r="J406" s="88"/>
      <c r="K406" s="88" t="s">
        <v>27</v>
      </c>
      <c r="L406" s="17">
        <v>190</v>
      </c>
      <c r="M406" s="17"/>
      <c r="N406" s="17">
        <f>+M406*L406</f>
        <v>0</v>
      </c>
      <c r="O406" s="56"/>
    </row>
    <row r="407" spans="1:15" s="119" customFormat="1" ht="13.15" hidden="1" customHeight="1" outlineLevel="1" x14ac:dyDescent="0.25">
      <c r="A407" s="26" t="str">
        <f>IF(K407="","",MAX(A$2:A406)+1)</f>
        <v/>
      </c>
      <c r="B407" s="205"/>
      <c r="C407" s="152" t="s">
        <v>247</v>
      </c>
      <c r="D407" s="149"/>
      <c r="E407" s="153"/>
      <c r="F407" s="153"/>
      <c r="G407" s="153"/>
      <c r="H407" s="154" t="s">
        <v>12</v>
      </c>
      <c r="I407" s="153">
        <v>100</v>
      </c>
      <c r="J407" s="155"/>
      <c r="K407" s="150"/>
      <c r="L407" s="118"/>
      <c r="M407" s="118"/>
      <c r="N407" s="118">
        <f>+M407*L407</f>
        <v>0</v>
      </c>
      <c r="O407" s="156"/>
    </row>
    <row r="408" spans="1:15" s="119" customFormat="1" ht="13.15" hidden="1" customHeight="1" outlineLevel="1" x14ac:dyDescent="0.25">
      <c r="A408" s="26" t="str">
        <f>IF(K408="","",MAX(A$2:A407)+1)</f>
        <v/>
      </c>
      <c r="B408" s="205"/>
      <c r="C408" s="152" t="s">
        <v>176</v>
      </c>
      <c r="D408" s="149"/>
      <c r="E408" s="153"/>
      <c r="F408" s="153"/>
      <c r="G408" s="153"/>
      <c r="H408" s="154" t="s">
        <v>12</v>
      </c>
      <c r="I408" s="153">
        <v>71</v>
      </c>
      <c r="J408" s="155"/>
      <c r="K408" s="150"/>
      <c r="L408" s="118"/>
      <c r="M408" s="118"/>
      <c r="N408" s="118">
        <f t="shared" ref="N408:N410" si="66">+M408*L408</f>
        <v>0</v>
      </c>
      <c r="O408" s="156"/>
    </row>
    <row r="409" spans="1:15" s="119" customFormat="1" ht="13.15" hidden="1" customHeight="1" outlineLevel="1" x14ac:dyDescent="0.25">
      <c r="A409" s="26" t="str">
        <f>IF(K409="","",MAX(A$2:A408)+1)</f>
        <v/>
      </c>
      <c r="B409" s="205"/>
      <c r="C409" s="152" t="s">
        <v>241</v>
      </c>
      <c r="D409" s="149"/>
      <c r="E409" s="153"/>
      <c r="F409" s="153"/>
      <c r="G409" s="153"/>
      <c r="H409" s="154" t="s">
        <v>12</v>
      </c>
      <c r="I409" s="153" t="s">
        <v>172</v>
      </c>
      <c r="J409" s="155"/>
      <c r="K409" s="150"/>
      <c r="L409" s="118"/>
      <c r="M409" s="118"/>
      <c r="N409" s="118">
        <f t="shared" si="66"/>
        <v>0</v>
      </c>
      <c r="O409" s="156"/>
    </row>
    <row r="410" spans="1:15" s="119" customFormat="1" ht="13.15" hidden="1" customHeight="1" outlineLevel="1" x14ac:dyDescent="0.25">
      <c r="A410" s="26" t="str">
        <f>IF(K410="","",MAX(A$2:A409)+1)</f>
        <v/>
      </c>
      <c r="B410" s="205"/>
      <c r="C410" s="152" t="s">
        <v>177</v>
      </c>
      <c r="D410" s="149"/>
      <c r="E410" s="153"/>
      <c r="F410" s="153"/>
      <c r="G410" s="153"/>
      <c r="H410" s="154" t="s">
        <v>12</v>
      </c>
      <c r="I410" s="153">
        <v>16.5</v>
      </c>
      <c r="J410" s="155"/>
      <c r="K410" s="150"/>
      <c r="L410" s="118"/>
      <c r="M410" s="118"/>
      <c r="N410" s="118">
        <f t="shared" si="66"/>
        <v>0</v>
      </c>
      <c r="O410" s="156"/>
    </row>
    <row r="411" spans="1:15" ht="6" hidden="1" customHeight="1" outlineLevel="1" x14ac:dyDescent="0.25">
      <c r="A411" s="26" t="str">
        <f>IF(K411="","",MAX(A$2:A410)+1)</f>
        <v/>
      </c>
      <c r="B411" s="14"/>
      <c r="C411" s="24"/>
      <c r="D411" s="5"/>
      <c r="E411" s="46"/>
      <c r="F411" s="41"/>
      <c r="G411" s="41"/>
      <c r="H411" s="103"/>
      <c r="I411" s="41"/>
      <c r="J411" s="91"/>
      <c r="K411" s="88"/>
      <c r="L411" s="17"/>
      <c r="M411" s="17"/>
      <c r="N411" s="17"/>
      <c r="O411" s="104"/>
    </row>
    <row r="412" spans="1:15" ht="13.15" hidden="1" customHeight="1" outlineLevel="1" x14ac:dyDescent="0.25">
      <c r="A412" s="26" t="str">
        <f>IF(K412="","",MAX(A$2:A411)+1)</f>
        <v/>
      </c>
      <c r="B412" s="14"/>
      <c r="C412" s="42"/>
      <c r="D412" s="5"/>
      <c r="E412" s="46"/>
      <c r="F412" s="41"/>
      <c r="G412" s="41"/>
      <c r="H412" s="103"/>
      <c r="I412" s="132">
        <f>SUM(I407:I410)</f>
        <v>187.5</v>
      </c>
      <c r="J412" s="91"/>
      <c r="K412" s="88"/>
      <c r="L412" s="17"/>
      <c r="M412" s="17"/>
      <c r="N412" s="17">
        <f t="shared" ref="N412" si="67">+M412*L412</f>
        <v>0</v>
      </c>
      <c r="O412" s="104"/>
    </row>
    <row r="413" spans="1:15" ht="15" customHeight="1" x14ac:dyDescent="0.25">
      <c r="A413" s="26">
        <f>IF(K413="","",MAX(A$2:A412)+1)</f>
        <v>90</v>
      </c>
      <c r="B413" s="14"/>
      <c r="C413" s="43" t="s">
        <v>155</v>
      </c>
      <c r="D413" s="5"/>
      <c r="E413" s="5"/>
      <c r="F413" s="5"/>
      <c r="G413" s="5"/>
      <c r="H413" s="5"/>
      <c r="I413" s="5"/>
      <c r="J413" s="88"/>
      <c r="K413" s="88" t="s">
        <v>10</v>
      </c>
      <c r="L413" s="17">
        <v>1</v>
      </c>
      <c r="M413" s="17"/>
      <c r="N413" s="17">
        <f t="shared" si="63"/>
        <v>0</v>
      </c>
      <c r="O413" s="56"/>
    </row>
    <row r="414" spans="1:15" ht="15" customHeight="1" x14ac:dyDescent="0.25">
      <c r="A414" s="26" t="str">
        <f>IF(K414="","",MAX(A$2:A413)+1)</f>
        <v/>
      </c>
      <c r="B414" s="14"/>
      <c r="C414" s="21"/>
      <c r="D414" s="5"/>
      <c r="E414" s="5"/>
      <c r="F414" s="5"/>
      <c r="G414" s="5"/>
      <c r="H414" s="5"/>
      <c r="I414" s="5"/>
      <c r="J414" s="88"/>
      <c r="K414" s="88"/>
      <c r="L414" s="17"/>
      <c r="M414" s="17"/>
      <c r="N414" s="17">
        <f t="shared" ref="N414" si="68">+M414*L414</f>
        <v>0</v>
      </c>
      <c r="O414" s="56"/>
    </row>
    <row r="415" spans="1:15" ht="14.45" customHeight="1" x14ac:dyDescent="0.25">
      <c r="A415" s="26" t="str">
        <f>IF(K415="","",MAX(A$2:A414)+1)</f>
        <v/>
      </c>
      <c r="B415" s="14" t="s">
        <v>417</v>
      </c>
      <c r="C415" s="21" t="s">
        <v>139</v>
      </c>
      <c r="D415" s="23"/>
      <c r="E415" s="23"/>
      <c r="F415" s="23"/>
      <c r="G415" s="23"/>
      <c r="H415" s="23"/>
      <c r="I415" s="23"/>
      <c r="J415" s="47"/>
      <c r="K415" s="88"/>
      <c r="L415" s="54"/>
      <c r="M415" s="17"/>
      <c r="N415" s="17"/>
      <c r="O415" s="56"/>
    </row>
    <row r="416" spans="1:15" ht="15" customHeight="1" collapsed="1" x14ac:dyDescent="0.25">
      <c r="A416" s="26">
        <f>IF(K416="","",MAX(A$2:A415)+1)</f>
        <v>91</v>
      </c>
      <c r="B416" s="14"/>
      <c r="C416" s="23" t="s">
        <v>138</v>
      </c>
      <c r="D416" s="23"/>
      <c r="E416" s="23"/>
      <c r="F416" s="23"/>
      <c r="G416" s="23"/>
      <c r="H416" s="23"/>
      <c r="I416" s="23"/>
      <c r="J416" s="47"/>
      <c r="K416" s="88" t="s">
        <v>27</v>
      </c>
      <c r="L416" s="17">
        <f>I420</f>
        <v>40</v>
      </c>
      <c r="M416" s="17"/>
      <c r="N416" s="17">
        <f>M416*L416</f>
        <v>0</v>
      </c>
      <c r="O416" s="56"/>
    </row>
    <row r="417" spans="1:16" s="119" customFormat="1" ht="13.15" hidden="1" customHeight="1" outlineLevel="1" x14ac:dyDescent="0.25">
      <c r="A417" s="26" t="str">
        <f>IF(K417="","",MAX(A$2:A416)+1)</f>
        <v/>
      </c>
      <c r="B417" s="205"/>
      <c r="C417" s="152" t="s">
        <v>267</v>
      </c>
      <c r="D417" s="149"/>
      <c r="E417" s="153"/>
      <c r="F417" s="153"/>
      <c r="G417" s="153"/>
      <c r="H417" s="154" t="s">
        <v>12</v>
      </c>
      <c r="I417" s="153">
        <v>20</v>
      </c>
      <c r="J417" s="155"/>
      <c r="K417" s="150"/>
      <c r="L417" s="118"/>
      <c r="M417" s="118"/>
      <c r="N417" s="118">
        <f>+M417*L417</f>
        <v>0</v>
      </c>
      <c r="O417" s="156"/>
    </row>
    <row r="418" spans="1:16" s="119" customFormat="1" ht="13.15" hidden="1" customHeight="1" outlineLevel="1" x14ac:dyDescent="0.25">
      <c r="A418" s="26" t="str">
        <f>IF(K418="","",MAX(A$2:A417)+1)</f>
        <v/>
      </c>
      <c r="B418" s="205"/>
      <c r="C418" s="152" t="s">
        <v>268</v>
      </c>
      <c r="D418" s="149"/>
      <c r="E418" s="153"/>
      <c r="F418" s="153"/>
      <c r="G418" s="153"/>
      <c r="H418" s="154" t="s">
        <v>12</v>
      </c>
      <c r="I418" s="153">
        <v>20</v>
      </c>
      <c r="J418" s="155"/>
      <c r="K418" s="150"/>
      <c r="L418" s="118"/>
      <c r="M418" s="118"/>
      <c r="N418" s="118">
        <f t="shared" ref="N418" si="69">+M418*L418</f>
        <v>0</v>
      </c>
      <c r="O418" s="156"/>
    </row>
    <row r="419" spans="1:16" ht="6" hidden="1" customHeight="1" outlineLevel="1" x14ac:dyDescent="0.25">
      <c r="A419" s="26" t="str">
        <f>IF(K419="","",MAX(A$2:A418)+1)</f>
        <v/>
      </c>
      <c r="B419" s="14"/>
      <c r="C419" s="24"/>
      <c r="D419" s="5"/>
      <c r="E419" s="46"/>
      <c r="F419" s="41"/>
      <c r="G419" s="41"/>
      <c r="H419" s="103"/>
      <c r="I419" s="41"/>
      <c r="J419" s="91"/>
      <c r="K419" s="88"/>
      <c r="L419" s="17"/>
      <c r="M419" s="17"/>
      <c r="N419" s="17"/>
      <c r="O419" s="104"/>
    </row>
    <row r="420" spans="1:16" ht="13.15" hidden="1" customHeight="1" outlineLevel="1" x14ac:dyDescent="0.25">
      <c r="A420" s="26" t="str">
        <f>IF(K420="","",MAX(A$2:A419)+1)</f>
        <v/>
      </c>
      <c r="B420" s="14"/>
      <c r="C420" s="42"/>
      <c r="D420" s="5"/>
      <c r="E420" s="46"/>
      <c r="F420" s="41"/>
      <c r="G420" s="41"/>
      <c r="H420" s="103"/>
      <c r="I420" s="132">
        <f>SUM(I417:I418)</f>
        <v>40</v>
      </c>
      <c r="J420" s="91"/>
      <c r="K420" s="88"/>
      <c r="L420" s="17"/>
      <c r="M420" s="17"/>
      <c r="N420" s="17">
        <f t="shared" ref="N420" si="70">+M420*L420</f>
        <v>0</v>
      </c>
      <c r="O420" s="104"/>
    </row>
    <row r="421" spans="1:16" ht="15" customHeight="1" x14ac:dyDescent="0.25">
      <c r="A421" s="26" t="str">
        <f>IF(K421="","",MAX(A$2:A420)+1)</f>
        <v/>
      </c>
      <c r="B421" s="14"/>
      <c r="C421" s="29"/>
      <c r="J421" s="92"/>
      <c r="K421" s="88"/>
      <c r="L421" s="17"/>
      <c r="M421" s="17"/>
      <c r="N421" s="17"/>
      <c r="O421" s="56"/>
    </row>
    <row r="422" spans="1:16" ht="15" customHeight="1" x14ac:dyDescent="0.25">
      <c r="A422" s="26" t="str">
        <f>IF(K422="","",MAX(A$2:A421)+1)</f>
        <v/>
      </c>
      <c r="B422" s="14" t="s">
        <v>374</v>
      </c>
      <c r="C422" s="21" t="s">
        <v>178</v>
      </c>
      <c r="D422" s="23"/>
      <c r="E422" s="23"/>
      <c r="F422" s="23"/>
      <c r="G422" s="23"/>
      <c r="H422" s="23"/>
      <c r="I422" s="23"/>
      <c r="J422" s="47"/>
      <c r="K422" s="88"/>
      <c r="L422" s="17"/>
      <c r="M422" s="17"/>
      <c r="N422" s="17">
        <f t="shared" ref="N422:N424" si="71">M422*L422</f>
        <v>0</v>
      </c>
      <c r="O422" s="56"/>
    </row>
    <row r="423" spans="1:16" ht="15" customHeight="1" x14ac:dyDescent="0.25">
      <c r="A423" s="26">
        <f>IF(K423="","",MAX(A$2:A422)+1)</f>
        <v>92</v>
      </c>
      <c r="B423" s="14"/>
      <c r="C423" s="43" t="s">
        <v>181</v>
      </c>
      <c r="D423" s="23"/>
      <c r="E423" s="23"/>
      <c r="F423" s="23"/>
      <c r="G423" s="23"/>
      <c r="H423" s="23"/>
      <c r="I423" s="23"/>
      <c r="J423" s="47"/>
      <c r="K423" s="88" t="s">
        <v>179</v>
      </c>
      <c r="L423" s="17">
        <v>160</v>
      </c>
      <c r="M423" s="17"/>
      <c r="N423" s="17">
        <f t="shared" si="71"/>
        <v>0</v>
      </c>
      <c r="O423" s="56"/>
    </row>
    <row r="424" spans="1:16" ht="15" customHeight="1" x14ac:dyDescent="0.25">
      <c r="A424" s="26">
        <f>IF(K424="","",MAX(A$2:A423)+1)</f>
        <v>93</v>
      </c>
      <c r="B424" s="14"/>
      <c r="C424" s="43" t="s">
        <v>180</v>
      </c>
      <c r="D424" s="23"/>
      <c r="E424" s="23"/>
      <c r="F424" s="23"/>
      <c r="G424" s="23"/>
      <c r="H424" s="23"/>
      <c r="I424" s="23"/>
      <c r="J424" s="47"/>
      <c r="K424" s="88" t="s">
        <v>179</v>
      </c>
      <c r="L424" s="17">
        <v>160</v>
      </c>
      <c r="M424" s="17"/>
      <c r="N424" s="17">
        <f t="shared" si="71"/>
        <v>0</v>
      </c>
      <c r="O424" s="56"/>
    </row>
    <row r="425" spans="1:16" s="23" customFormat="1" ht="15" customHeight="1" x14ac:dyDescent="0.25">
      <c r="A425" s="26" t="str">
        <f>IF(K425="","",MAX(A$2:A424)+1)</f>
        <v/>
      </c>
      <c r="B425" s="14"/>
      <c r="C425" s="18"/>
      <c r="D425" s="82"/>
      <c r="E425" s="82"/>
      <c r="F425" s="82"/>
      <c r="G425" s="82"/>
      <c r="H425" s="82"/>
      <c r="I425" s="82"/>
      <c r="J425" s="59"/>
      <c r="K425" s="89"/>
      <c r="L425" s="19"/>
      <c r="M425" s="19"/>
      <c r="N425" s="19"/>
      <c r="O425" s="5"/>
    </row>
    <row r="426" spans="1:16" s="23" customFormat="1" ht="25.15" customHeight="1" x14ac:dyDescent="0.25">
      <c r="A426" s="26" t="str">
        <f>IF(K426="","",MAX(A$2:A425)+1)</f>
        <v/>
      </c>
      <c r="B426" s="14"/>
      <c r="C426" s="18"/>
      <c r="D426" s="82"/>
      <c r="E426" s="82"/>
      <c r="F426" s="82"/>
      <c r="G426" s="82"/>
      <c r="H426" s="82"/>
      <c r="I426" s="82"/>
      <c r="J426" s="172" t="s">
        <v>284</v>
      </c>
      <c r="K426" s="89"/>
      <c r="L426" s="19"/>
      <c r="M426" s="173"/>
      <c r="N426" s="174">
        <f>+SUM(N4:N425)</f>
        <v>0</v>
      </c>
      <c r="O426" s="5"/>
      <c r="P426" s="27"/>
    </row>
    <row r="427" spans="1:16" ht="24" customHeight="1" x14ac:dyDescent="0.25">
      <c r="A427" s="26" t="str">
        <f>IF(K427="","",MAX(A$2:A426)+1)</f>
        <v/>
      </c>
      <c r="B427" s="15"/>
      <c r="C427" s="53"/>
      <c r="D427" s="53"/>
      <c r="E427" s="53"/>
      <c r="F427" s="53"/>
      <c r="G427" s="53"/>
      <c r="H427" s="53"/>
      <c r="I427" s="53"/>
      <c r="J427" s="60"/>
      <c r="K427" s="88"/>
      <c r="L427" s="16"/>
      <c r="M427" s="17"/>
      <c r="N427" s="17"/>
    </row>
    <row r="428" spans="1:16" ht="36.6" customHeight="1" x14ac:dyDescent="0.25">
      <c r="A428" s="26" t="str">
        <f>IF(K428="","",MAX(A$2:A427)+1)</f>
        <v/>
      </c>
      <c r="B428" s="15"/>
      <c r="C428" s="237" t="s">
        <v>228</v>
      </c>
      <c r="D428" s="238"/>
      <c r="E428" s="238"/>
      <c r="F428" s="238"/>
      <c r="G428" s="238"/>
      <c r="H428" s="238"/>
      <c r="I428" s="238"/>
      <c r="J428" s="239"/>
      <c r="K428" s="88"/>
      <c r="L428" s="16"/>
      <c r="M428" s="17"/>
      <c r="N428" s="17"/>
    </row>
    <row r="429" spans="1:16" ht="15" customHeight="1" x14ac:dyDescent="0.25">
      <c r="A429" s="26" t="str">
        <f>IF(K429="","",MAX(A$2:A428)+1)</f>
        <v/>
      </c>
      <c r="B429" s="15"/>
      <c r="C429" s="109"/>
      <c r="D429" s="67"/>
      <c r="E429" s="67"/>
      <c r="F429" s="67"/>
      <c r="G429" s="67"/>
      <c r="H429" s="67"/>
      <c r="I429" s="67"/>
      <c r="J429" s="110"/>
      <c r="K429" s="88"/>
      <c r="L429" s="16"/>
      <c r="M429" s="17"/>
      <c r="N429" s="17">
        <f t="shared" ref="N429:N443" si="72">+M429*L429</f>
        <v>0</v>
      </c>
    </row>
    <row r="430" spans="1:16" ht="39" customHeight="1" x14ac:dyDescent="0.25">
      <c r="A430" s="26" t="str">
        <f>IF(K430="","",MAX(A$2:A429)+1)</f>
        <v/>
      </c>
      <c r="B430" s="14"/>
      <c r="C430" s="112" t="s">
        <v>28</v>
      </c>
      <c r="D430" s="100"/>
      <c r="E430" s="100"/>
      <c r="F430" s="100"/>
      <c r="G430" s="100"/>
      <c r="H430" s="100"/>
      <c r="I430" s="100"/>
      <c r="J430" s="101"/>
      <c r="K430" s="88"/>
      <c r="L430" s="16"/>
      <c r="M430" s="102"/>
      <c r="N430" s="17">
        <f t="shared" si="72"/>
        <v>0</v>
      </c>
    </row>
    <row r="431" spans="1:16" s="23" customFormat="1" ht="15" customHeight="1" x14ac:dyDescent="0.25">
      <c r="A431" s="26" t="str">
        <f>IF(K431="","",MAX(A$2:A430)+1)</f>
        <v/>
      </c>
      <c r="B431" s="14" t="s">
        <v>13</v>
      </c>
      <c r="C431" s="21" t="s">
        <v>29</v>
      </c>
      <c r="G431" s="22"/>
      <c r="H431" s="22"/>
      <c r="I431" s="22"/>
      <c r="J431" s="47"/>
      <c r="K431" s="88"/>
      <c r="L431" s="17"/>
      <c r="M431" s="17"/>
      <c r="N431" s="17">
        <f t="shared" si="72"/>
        <v>0</v>
      </c>
      <c r="O431" s="56"/>
    </row>
    <row r="432" spans="1:16" s="23" customFormat="1" ht="15" customHeight="1" x14ac:dyDescent="0.25">
      <c r="A432" s="26" t="str">
        <f>IF(K432="","",MAX(A$2:A431)+1)</f>
        <v/>
      </c>
      <c r="B432" s="14"/>
      <c r="C432" s="23" t="s">
        <v>30</v>
      </c>
      <c r="G432" s="22"/>
      <c r="H432" s="22"/>
      <c r="I432" s="22"/>
      <c r="J432" s="47"/>
      <c r="K432" s="88"/>
      <c r="L432" s="17"/>
      <c r="M432" s="17"/>
      <c r="N432" s="17">
        <f t="shared" si="72"/>
        <v>0</v>
      </c>
      <c r="O432" s="56"/>
    </row>
    <row r="433" spans="1:15" s="23" customFormat="1" ht="15" customHeight="1" x14ac:dyDescent="0.25">
      <c r="A433" s="26">
        <f>IF(K433="","",MAX(A$2:A432)+1)</f>
        <v>94</v>
      </c>
      <c r="B433" s="14"/>
      <c r="C433" s="43" t="s">
        <v>31</v>
      </c>
      <c r="G433" s="22"/>
      <c r="H433" s="22"/>
      <c r="I433" s="22"/>
      <c r="J433" s="47"/>
      <c r="K433" s="88" t="s">
        <v>10</v>
      </c>
      <c r="L433" s="17">
        <v>1</v>
      </c>
      <c r="M433" s="22"/>
      <c r="N433" s="17">
        <f>+M433*L433</f>
        <v>0</v>
      </c>
      <c r="O433" s="56"/>
    </row>
    <row r="434" spans="1:15" s="23" customFormat="1" ht="15" customHeight="1" x14ac:dyDescent="0.25">
      <c r="A434" s="26">
        <f>IF(K434="","",MAX(A$2:A433)+1)</f>
        <v>95</v>
      </c>
      <c r="B434" s="14"/>
      <c r="C434" s="43" t="s">
        <v>32</v>
      </c>
      <c r="G434" s="22"/>
      <c r="H434" s="22"/>
      <c r="I434" s="22"/>
      <c r="J434" s="47"/>
      <c r="K434" s="88" t="s">
        <v>15</v>
      </c>
      <c r="L434" s="17">
        <v>4</v>
      </c>
      <c r="M434" s="22"/>
      <c r="N434" s="17">
        <f t="shared" si="72"/>
        <v>0</v>
      </c>
      <c r="O434" s="56"/>
    </row>
    <row r="435" spans="1:15" s="23" customFormat="1" ht="15" customHeight="1" x14ac:dyDescent="0.25">
      <c r="A435" s="26">
        <f>IF(K435="","",MAX(A$2:A434)+1)</f>
        <v>96</v>
      </c>
      <c r="B435" s="14"/>
      <c r="C435" s="43" t="s">
        <v>33</v>
      </c>
      <c r="G435" s="22"/>
      <c r="H435" s="22"/>
      <c r="I435" s="22"/>
      <c r="J435" s="47"/>
      <c r="K435" s="88" t="s">
        <v>8</v>
      </c>
      <c r="L435" s="17">
        <v>11</v>
      </c>
      <c r="M435" s="22"/>
      <c r="N435" s="17">
        <f t="shared" si="72"/>
        <v>0</v>
      </c>
      <c r="O435" s="56"/>
    </row>
    <row r="436" spans="1:15" s="23" customFormat="1" ht="15" customHeight="1" x14ac:dyDescent="0.25">
      <c r="A436" s="26">
        <f>IF(K436="","",MAX(A$2:A435)+1)</f>
        <v>97</v>
      </c>
      <c r="B436" s="14"/>
      <c r="C436" s="43" t="s">
        <v>9</v>
      </c>
      <c r="G436" s="22"/>
      <c r="H436" s="22"/>
      <c r="I436" s="22"/>
      <c r="J436" s="47"/>
      <c r="K436" s="88" t="s">
        <v>10</v>
      </c>
      <c r="L436" s="17">
        <v>1</v>
      </c>
      <c r="M436" s="22"/>
      <c r="N436" s="17">
        <f t="shared" si="72"/>
        <v>0</v>
      </c>
      <c r="O436" s="56"/>
    </row>
    <row r="437" spans="1:15" s="23" customFormat="1" ht="15" customHeight="1" x14ac:dyDescent="0.25">
      <c r="A437" s="26" t="str">
        <f>IF(K437="","",MAX(A$2:A436)+1)</f>
        <v/>
      </c>
      <c r="B437" s="14"/>
      <c r="C437" s="23" t="s">
        <v>34</v>
      </c>
      <c r="G437" s="22"/>
      <c r="H437" s="22"/>
      <c r="I437" s="22"/>
      <c r="J437" s="47"/>
      <c r="K437" s="88"/>
      <c r="L437" s="17"/>
      <c r="M437" s="22"/>
      <c r="N437" s="17">
        <f t="shared" si="72"/>
        <v>0</v>
      </c>
      <c r="O437" s="56"/>
    </row>
    <row r="438" spans="1:15" s="23" customFormat="1" ht="15" customHeight="1" x14ac:dyDescent="0.25">
      <c r="A438" s="26">
        <f>IF(K438="","",MAX(A$2:A437)+1)</f>
        <v>98</v>
      </c>
      <c r="B438" s="14"/>
      <c r="C438" s="43" t="s">
        <v>35</v>
      </c>
      <c r="G438" s="22"/>
      <c r="H438" s="22"/>
      <c r="I438" s="22"/>
      <c r="J438" s="47"/>
      <c r="K438" s="88" t="s">
        <v>10</v>
      </c>
      <c r="L438" s="17">
        <v>1</v>
      </c>
      <c r="M438" s="22"/>
      <c r="N438" s="17">
        <f t="shared" si="72"/>
        <v>0</v>
      </c>
      <c r="O438" s="56"/>
    </row>
    <row r="439" spans="1:15" s="23" customFormat="1" ht="15" customHeight="1" x14ac:dyDescent="0.25">
      <c r="A439" s="26">
        <f>IF(K439="","",MAX(A$2:A438)+1)</f>
        <v>99</v>
      </c>
      <c r="B439" s="14"/>
      <c r="C439" s="43" t="s">
        <v>36</v>
      </c>
      <c r="G439" s="22"/>
      <c r="H439" s="22"/>
      <c r="I439" s="22"/>
      <c r="J439" s="47"/>
      <c r="K439" s="88" t="s">
        <v>15</v>
      </c>
      <c r="L439" s="17">
        <v>4</v>
      </c>
      <c r="M439" s="22"/>
      <c r="N439" s="17">
        <f t="shared" si="72"/>
        <v>0</v>
      </c>
      <c r="O439" s="56"/>
    </row>
    <row r="440" spans="1:15" s="23" customFormat="1" ht="15" customHeight="1" x14ac:dyDescent="0.25">
      <c r="A440" s="26">
        <f>IF(K440="","",MAX(A$2:A439)+1)</f>
        <v>100</v>
      </c>
      <c r="B440" s="14"/>
      <c r="C440" s="43" t="s">
        <v>33</v>
      </c>
      <c r="G440" s="22"/>
      <c r="H440" s="22"/>
      <c r="I440" s="22"/>
      <c r="J440" s="47"/>
      <c r="K440" s="88" t="s">
        <v>8</v>
      </c>
      <c r="L440" s="17">
        <v>11</v>
      </c>
      <c r="M440" s="22"/>
      <c r="N440" s="17">
        <f t="shared" si="72"/>
        <v>0</v>
      </c>
      <c r="O440" s="56"/>
    </row>
    <row r="441" spans="1:15" s="23" customFormat="1" ht="15" customHeight="1" x14ac:dyDescent="0.25">
      <c r="A441" s="26">
        <f>IF(K441="","",MAX(A$2:A440)+1)</f>
        <v>101</v>
      </c>
      <c r="B441" s="14"/>
      <c r="C441" s="43" t="s">
        <v>9</v>
      </c>
      <c r="G441" s="22"/>
      <c r="H441" s="22"/>
      <c r="I441" s="22"/>
      <c r="J441" s="47"/>
      <c r="K441" s="88" t="s">
        <v>10</v>
      </c>
      <c r="L441" s="17">
        <v>1</v>
      </c>
      <c r="M441" s="22"/>
      <c r="N441" s="17">
        <f t="shared" si="72"/>
        <v>0</v>
      </c>
      <c r="O441" s="56"/>
    </row>
    <row r="442" spans="1:15" s="23" customFormat="1" ht="25.15" customHeight="1" x14ac:dyDescent="0.25">
      <c r="A442" s="26" t="str">
        <f>IF(K442="","",MAX(A$2:A441)+1)</f>
        <v/>
      </c>
      <c r="B442" s="14"/>
      <c r="C442" s="43"/>
      <c r="G442" s="22"/>
      <c r="H442" s="22"/>
      <c r="I442" s="22"/>
      <c r="J442" s="47"/>
      <c r="K442" s="88"/>
      <c r="L442" s="17"/>
      <c r="M442" s="22"/>
      <c r="N442" s="17">
        <f t="shared" si="72"/>
        <v>0</v>
      </c>
      <c r="O442" s="56"/>
    </row>
    <row r="443" spans="1:15" ht="36" customHeight="1" x14ac:dyDescent="0.25">
      <c r="A443" s="26" t="str">
        <f>IF(K443="","",MAX(A$2:A442)+1)</f>
        <v/>
      </c>
      <c r="B443" s="14"/>
      <c r="C443" s="112" t="s">
        <v>37</v>
      </c>
      <c r="D443" s="100"/>
      <c r="E443" s="100"/>
      <c r="F443" s="100"/>
      <c r="G443" s="100"/>
      <c r="H443" s="100"/>
      <c r="I443" s="100"/>
      <c r="J443" s="101"/>
      <c r="K443" s="88"/>
      <c r="L443" s="16"/>
      <c r="M443" s="102"/>
      <c r="N443" s="17">
        <f t="shared" si="72"/>
        <v>0</v>
      </c>
      <c r="O443" s="56"/>
    </row>
    <row r="444" spans="1:15" ht="15" customHeight="1" x14ac:dyDescent="0.25">
      <c r="A444" s="26" t="str">
        <f>IF(K444="","",MAX(A$2:A443)+1)</f>
        <v/>
      </c>
      <c r="B444" s="14" t="s">
        <v>14</v>
      </c>
      <c r="C444" s="21" t="s">
        <v>38</v>
      </c>
      <c r="D444" s="23"/>
      <c r="E444" s="23"/>
      <c r="F444" s="23"/>
      <c r="G444" s="23"/>
      <c r="H444" s="23"/>
      <c r="I444" s="23"/>
      <c r="J444" s="47"/>
      <c r="K444" s="88"/>
      <c r="L444" s="17"/>
      <c r="M444" s="17"/>
      <c r="N444" s="17">
        <f t="shared" ref="N444:N470" si="73">+M444*L444</f>
        <v>0</v>
      </c>
      <c r="O444" s="56"/>
    </row>
    <row r="445" spans="1:15" ht="25.15" customHeight="1" collapsed="1" x14ac:dyDescent="0.25">
      <c r="A445" s="26">
        <f>IF(K445="","",MAX(A$2:A444)+1)</f>
        <v>102</v>
      </c>
      <c r="B445" s="14"/>
      <c r="C445" s="231" t="s">
        <v>199</v>
      </c>
      <c r="D445" s="232"/>
      <c r="E445" s="232"/>
      <c r="F445" s="232"/>
      <c r="G445" s="232"/>
      <c r="H445" s="232"/>
      <c r="I445" s="232"/>
      <c r="J445" s="233"/>
      <c r="K445" s="88" t="s">
        <v>56</v>
      </c>
      <c r="L445" s="17">
        <f>ROUNDUP(I468*1.05,)</f>
        <v>399</v>
      </c>
      <c r="M445" s="17"/>
      <c r="N445" s="17">
        <f>+M445*L445</f>
        <v>0</v>
      </c>
      <c r="O445" s="56"/>
    </row>
    <row r="446" spans="1:15" ht="13.15" hidden="1" customHeight="1" outlineLevel="1" x14ac:dyDescent="0.25">
      <c r="A446" s="26" t="str">
        <f>IF(K446="","",MAX(A$2:A445)+1)</f>
        <v/>
      </c>
      <c r="B446" s="14"/>
      <c r="C446" s="42" t="s">
        <v>156</v>
      </c>
      <c r="D446" s="5"/>
      <c r="E446" s="41"/>
      <c r="F446" s="41"/>
      <c r="G446" s="41"/>
      <c r="H446" s="103"/>
      <c r="I446" s="103"/>
      <c r="J446" s="49"/>
      <c r="K446" s="88"/>
      <c r="L446" s="17"/>
      <c r="M446" s="17"/>
      <c r="N446" s="17">
        <f t="shared" si="73"/>
        <v>0</v>
      </c>
      <c r="O446" s="104"/>
    </row>
    <row r="447" spans="1:15" ht="13.15" hidden="1" customHeight="1" outlineLevel="1" x14ac:dyDescent="0.25">
      <c r="A447" s="26" t="str">
        <f>IF(K447="","",MAX(A$2:A446)+1)</f>
        <v/>
      </c>
      <c r="B447" s="14"/>
      <c r="C447" s="24" t="s">
        <v>141</v>
      </c>
      <c r="D447" s="5"/>
      <c r="E447" s="41">
        <v>8.5500000000000007</v>
      </c>
      <c r="F447" s="41" t="s">
        <v>11</v>
      </c>
      <c r="G447" s="41">
        <v>3.2</v>
      </c>
      <c r="H447" s="103" t="s">
        <v>12</v>
      </c>
      <c r="I447" s="41">
        <f>+G447*E447</f>
        <v>27.360000000000003</v>
      </c>
      <c r="J447" s="92"/>
      <c r="K447" s="88"/>
      <c r="L447" s="17"/>
      <c r="M447" s="17"/>
      <c r="N447" s="17">
        <f t="shared" si="73"/>
        <v>0</v>
      </c>
      <c r="O447" s="104"/>
    </row>
    <row r="448" spans="1:15" ht="13.15" hidden="1" customHeight="1" outlineLevel="1" x14ac:dyDescent="0.25">
      <c r="A448" s="26" t="str">
        <f>IF(K448="","",MAX(A$2:A447)+1)</f>
        <v/>
      </c>
      <c r="B448" s="14"/>
      <c r="C448" s="24" t="s">
        <v>143</v>
      </c>
      <c r="D448" s="5"/>
      <c r="E448" s="41">
        <v>6.9</v>
      </c>
      <c r="F448" s="41" t="s">
        <v>11</v>
      </c>
      <c r="G448" s="41">
        <v>1.8</v>
      </c>
      <c r="H448" s="103" t="s">
        <v>12</v>
      </c>
      <c r="I448" s="41">
        <f>+G448*E448</f>
        <v>12.420000000000002</v>
      </c>
      <c r="J448" s="92"/>
      <c r="K448" s="88"/>
      <c r="L448" s="17"/>
      <c r="M448" s="17"/>
      <c r="N448" s="17">
        <f t="shared" si="73"/>
        <v>0</v>
      </c>
      <c r="O448" s="104"/>
    </row>
    <row r="449" spans="1:15" ht="13.15" hidden="1" customHeight="1" outlineLevel="1" x14ac:dyDescent="0.25">
      <c r="A449" s="26" t="str">
        <f>IF(K449="","",MAX(A$2:A448)+1)</f>
        <v/>
      </c>
      <c r="B449" s="14"/>
      <c r="C449" s="24" t="s">
        <v>142</v>
      </c>
      <c r="D449" s="5"/>
      <c r="E449" s="41">
        <v>11</v>
      </c>
      <c r="F449" s="41" t="s">
        <v>11</v>
      </c>
      <c r="G449" s="41">
        <v>3.1</v>
      </c>
      <c r="H449" s="103" t="s">
        <v>12</v>
      </c>
      <c r="I449" s="41">
        <f>+G449*E449</f>
        <v>34.1</v>
      </c>
      <c r="J449" s="92"/>
      <c r="K449" s="88"/>
      <c r="L449" s="17"/>
      <c r="M449" s="17"/>
      <c r="N449" s="17">
        <f t="shared" si="73"/>
        <v>0</v>
      </c>
      <c r="O449" s="104"/>
    </row>
    <row r="450" spans="1:15" ht="13.15" hidden="1" customHeight="1" outlineLevel="1" x14ac:dyDescent="0.25">
      <c r="A450" s="26" t="str">
        <f>IF(K450="","",MAX(A$2:A449)+1)</f>
        <v/>
      </c>
      <c r="B450" s="14"/>
      <c r="C450" s="24" t="s">
        <v>144</v>
      </c>
      <c r="D450" s="5"/>
      <c r="E450" s="41">
        <v>8.5</v>
      </c>
      <c r="F450" s="41" t="s">
        <v>11</v>
      </c>
      <c r="G450" s="41">
        <v>1.6</v>
      </c>
      <c r="H450" s="103" t="s">
        <v>12</v>
      </c>
      <c r="I450" s="41">
        <f>+G450*E450</f>
        <v>13.600000000000001</v>
      </c>
      <c r="J450" s="92"/>
      <c r="K450" s="88"/>
      <c r="L450" s="17"/>
      <c r="M450" s="17"/>
      <c r="N450" s="17">
        <f t="shared" si="73"/>
        <v>0</v>
      </c>
      <c r="O450" s="104"/>
    </row>
    <row r="451" spans="1:15" ht="13.15" hidden="1" customHeight="1" outlineLevel="1" x14ac:dyDescent="0.25">
      <c r="A451" s="26" t="str">
        <f>IF(K451="","",MAX(A$2:A450)+1)</f>
        <v/>
      </c>
      <c r="B451" s="14"/>
      <c r="C451" s="42" t="s">
        <v>158</v>
      </c>
      <c r="D451" s="5"/>
      <c r="E451" s="41"/>
      <c r="F451" s="41"/>
      <c r="G451" s="41"/>
      <c r="H451" s="103"/>
      <c r="I451" s="41"/>
      <c r="J451" s="92"/>
      <c r="K451" s="88"/>
      <c r="L451" s="17"/>
      <c r="M451" s="17"/>
      <c r="N451" s="17">
        <f t="shared" si="73"/>
        <v>0</v>
      </c>
      <c r="O451" s="104"/>
    </row>
    <row r="452" spans="1:15" ht="13.15" hidden="1" customHeight="1" outlineLevel="1" x14ac:dyDescent="0.25">
      <c r="A452" s="26" t="str">
        <f>IF(K452="","",MAX(A$2:A451)+1)</f>
        <v/>
      </c>
      <c r="B452" s="14"/>
      <c r="C452" s="24" t="s">
        <v>124</v>
      </c>
      <c r="D452" s="5"/>
      <c r="E452" s="41">
        <v>6.7</v>
      </c>
      <c r="F452" s="41" t="s">
        <v>11</v>
      </c>
      <c r="G452" s="41">
        <f>68*0.11/2</f>
        <v>3.74</v>
      </c>
      <c r="H452" s="103" t="s">
        <v>12</v>
      </c>
      <c r="I452" s="41">
        <f t="shared" ref="I452:I459" si="74">+G452*E452</f>
        <v>25.058000000000003</v>
      </c>
      <c r="J452" s="92"/>
      <c r="K452" s="88"/>
      <c r="L452" s="17"/>
      <c r="M452" s="17"/>
      <c r="N452" s="17">
        <f t="shared" si="73"/>
        <v>0</v>
      </c>
      <c r="O452" s="104"/>
    </row>
    <row r="453" spans="1:15" ht="13.15" hidden="1" customHeight="1" outlineLevel="1" x14ac:dyDescent="0.25">
      <c r="A453" s="26" t="str">
        <f>IF(K453="","",MAX(A$2:A452)+1)</f>
        <v/>
      </c>
      <c r="B453" s="14"/>
      <c r="C453" s="24"/>
      <c r="D453" s="5"/>
      <c r="E453" s="41">
        <v>2</v>
      </c>
      <c r="F453" s="41" t="s">
        <v>11</v>
      </c>
      <c r="G453" s="41">
        <f>38*0.11/2</f>
        <v>2.09</v>
      </c>
      <c r="H453" s="103" t="s">
        <v>12</v>
      </c>
      <c r="I453" s="41">
        <f t="shared" si="74"/>
        <v>4.18</v>
      </c>
      <c r="J453" s="92"/>
      <c r="K453" s="88"/>
      <c r="L453" s="17"/>
      <c r="M453" s="17"/>
      <c r="N453" s="17">
        <f t="shared" si="73"/>
        <v>0</v>
      </c>
      <c r="O453" s="104"/>
    </row>
    <row r="454" spans="1:15" ht="13.15" hidden="1" customHeight="1" outlineLevel="1" x14ac:dyDescent="0.25">
      <c r="A454" s="26" t="str">
        <f>IF(K454="","",MAX(A$2:A453)+1)</f>
        <v/>
      </c>
      <c r="B454" s="14"/>
      <c r="C454" s="24"/>
      <c r="D454" s="5"/>
      <c r="E454" s="41">
        <f>2+9.65</f>
        <v>11.65</v>
      </c>
      <c r="F454" s="41" t="s">
        <v>11</v>
      </c>
      <c r="G454" s="41">
        <f>43*0.11/2</f>
        <v>2.3650000000000002</v>
      </c>
      <c r="H454" s="103" t="s">
        <v>12</v>
      </c>
      <c r="I454" s="41">
        <f t="shared" si="74"/>
        <v>27.552250000000004</v>
      </c>
      <c r="J454" s="92"/>
      <c r="K454" s="88"/>
      <c r="L454" s="17"/>
      <c r="M454" s="17"/>
      <c r="N454" s="17">
        <f t="shared" si="73"/>
        <v>0</v>
      </c>
      <c r="O454" s="104"/>
    </row>
    <row r="455" spans="1:15" ht="13.15" hidden="1" customHeight="1" outlineLevel="1" x14ac:dyDescent="0.25">
      <c r="A455" s="26" t="str">
        <f>IF(K455="","",MAX(A$2:A454)+1)</f>
        <v/>
      </c>
      <c r="B455" s="14"/>
      <c r="C455" s="24" t="s">
        <v>146</v>
      </c>
      <c r="D455" s="5"/>
      <c r="E455" s="41">
        <f>9.94+12.08</f>
        <v>22.02</v>
      </c>
      <c r="F455" s="41" t="s">
        <v>11</v>
      </c>
      <c r="G455" s="41">
        <f>31*0.11/2</f>
        <v>1.7050000000000001</v>
      </c>
      <c r="H455" s="103" t="s">
        <v>12</v>
      </c>
      <c r="I455" s="41">
        <f t="shared" si="74"/>
        <v>37.5441</v>
      </c>
      <c r="J455" s="92"/>
      <c r="K455" s="88"/>
      <c r="L455" s="17"/>
      <c r="M455" s="17"/>
      <c r="N455" s="17">
        <f t="shared" si="73"/>
        <v>0</v>
      </c>
      <c r="O455" s="104"/>
    </row>
    <row r="456" spans="1:15" ht="13.15" hidden="1" customHeight="1" outlineLevel="1" x14ac:dyDescent="0.25">
      <c r="A456" s="26" t="str">
        <f>IF(K456="","",MAX(A$2:A455)+1)</f>
        <v/>
      </c>
      <c r="B456" s="14"/>
      <c r="C456" s="24"/>
      <c r="D456" s="5"/>
      <c r="E456" s="41">
        <v>5</v>
      </c>
      <c r="F456" s="41" t="s">
        <v>11</v>
      </c>
      <c r="G456" s="41">
        <f>7*0.11</f>
        <v>0.77</v>
      </c>
      <c r="H456" s="103" t="s">
        <v>12</v>
      </c>
      <c r="I456" s="41">
        <f t="shared" si="74"/>
        <v>3.85</v>
      </c>
      <c r="J456" s="92"/>
      <c r="K456" s="88"/>
      <c r="L456" s="17"/>
      <c r="M456" s="17"/>
      <c r="N456" s="17">
        <f t="shared" si="73"/>
        <v>0</v>
      </c>
      <c r="O456" s="104"/>
    </row>
    <row r="457" spans="1:15" ht="13.15" hidden="1" customHeight="1" outlineLevel="1" x14ac:dyDescent="0.25">
      <c r="A457" s="26" t="str">
        <f>IF(K457="","",MAX(A$2:A456)+1)</f>
        <v/>
      </c>
      <c r="B457" s="14"/>
      <c r="C457" s="24" t="s">
        <v>159</v>
      </c>
      <c r="D457" s="5"/>
      <c r="E457" s="41">
        <v>2</v>
      </c>
      <c r="F457" s="41" t="s">
        <v>11</v>
      </c>
      <c r="G457" s="41">
        <f>29*0.11/2</f>
        <v>1.595</v>
      </c>
      <c r="H457" s="103" t="s">
        <v>12</v>
      </c>
      <c r="I457" s="41">
        <f t="shared" si="74"/>
        <v>3.19</v>
      </c>
      <c r="J457" s="92"/>
      <c r="K457" s="88"/>
      <c r="L457" s="17"/>
      <c r="M457" s="17"/>
      <c r="N457" s="17">
        <f t="shared" si="73"/>
        <v>0</v>
      </c>
      <c r="O457" s="104"/>
    </row>
    <row r="458" spans="1:15" ht="13.15" hidden="1" customHeight="1" outlineLevel="1" x14ac:dyDescent="0.25">
      <c r="A458" s="26" t="str">
        <f>IF(K458="","",MAX(A$2:A457)+1)</f>
        <v/>
      </c>
      <c r="B458" s="14"/>
      <c r="C458" s="24" t="s">
        <v>108</v>
      </c>
      <c r="D458" s="5"/>
      <c r="E458" s="41">
        <v>12.2</v>
      </c>
      <c r="F458" s="41" t="s">
        <v>11</v>
      </c>
      <c r="G458" s="41">
        <f>44*0.11</f>
        <v>4.84</v>
      </c>
      <c r="H458" s="103" t="s">
        <v>12</v>
      </c>
      <c r="I458" s="41">
        <f t="shared" si="74"/>
        <v>59.047999999999995</v>
      </c>
      <c r="J458" s="92"/>
      <c r="K458" s="88"/>
      <c r="L458" s="17"/>
      <c r="M458" s="17"/>
      <c r="N458" s="17">
        <f t="shared" si="73"/>
        <v>0</v>
      </c>
      <c r="O458" s="104"/>
    </row>
    <row r="459" spans="1:15" ht="13.15" hidden="1" customHeight="1" outlineLevel="1" x14ac:dyDescent="0.25">
      <c r="A459" s="26" t="str">
        <f>IF(K459="","",MAX(A$2:A458)+1)</f>
        <v/>
      </c>
      <c r="B459" s="14"/>
      <c r="C459" s="24" t="s">
        <v>145</v>
      </c>
      <c r="D459" s="5"/>
      <c r="E459" s="41">
        <v>13.8</v>
      </c>
      <c r="F459" s="41" t="s">
        <v>11</v>
      </c>
      <c r="G459" s="41">
        <v>3</v>
      </c>
      <c r="H459" s="103" t="s">
        <v>12</v>
      </c>
      <c r="I459" s="41">
        <f t="shared" si="74"/>
        <v>41.400000000000006</v>
      </c>
      <c r="J459" s="92"/>
      <c r="K459" s="88"/>
      <c r="L459" s="17"/>
      <c r="M459" s="17"/>
      <c r="N459" s="17">
        <f t="shared" si="73"/>
        <v>0</v>
      </c>
      <c r="O459" s="104"/>
    </row>
    <row r="460" spans="1:15" ht="13.15" hidden="1" customHeight="1" outlineLevel="1" x14ac:dyDescent="0.25">
      <c r="A460" s="26" t="str">
        <f>IF(K460="","",MAX(A$2:A459)+1)</f>
        <v/>
      </c>
      <c r="B460" s="14"/>
      <c r="C460" s="24" t="s">
        <v>126</v>
      </c>
      <c r="D460" s="5" t="s">
        <v>128</v>
      </c>
      <c r="E460" s="41">
        <v>4.0999999999999996</v>
      </c>
      <c r="F460" s="41" t="s">
        <v>11</v>
      </c>
      <c r="G460" s="41">
        <f>41*0.11/2</f>
        <v>2.2549999999999999</v>
      </c>
      <c r="H460" s="103" t="s">
        <v>12</v>
      </c>
      <c r="I460" s="41">
        <f>+G460*E460*2</f>
        <v>18.490999999999996</v>
      </c>
      <c r="J460" s="92"/>
      <c r="K460" s="88"/>
      <c r="L460" s="17"/>
      <c r="M460" s="17"/>
      <c r="N460" s="17">
        <f t="shared" si="73"/>
        <v>0</v>
      </c>
      <c r="O460" s="104"/>
    </row>
    <row r="461" spans="1:15" ht="13.15" hidden="1" customHeight="1" outlineLevel="1" x14ac:dyDescent="0.25">
      <c r="A461" s="26" t="str">
        <f>IF(K461="","",MAX(A$2:A460)+1)</f>
        <v/>
      </c>
      <c r="B461" s="14"/>
      <c r="C461" s="24" t="s">
        <v>144</v>
      </c>
      <c r="D461" s="5"/>
      <c r="E461" s="41">
        <f>8.9+10.9</f>
        <v>19.8</v>
      </c>
      <c r="F461" s="41" t="s">
        <v>11</v>
      </c>
      <c r="G461" s="41">
        <f>25*0.11/2</f>
        <v>1.375</v>
      </c>
      <c r="H461" s="103" t="s">
        <v>12</v>
      </c>
      <c r="I461" s="41">
        <f>+G461*E461</f>
        <v>27.225000000000001</v>
      </c>
      <c r="J461" s="92"/>
      <c r="K461" s="88"/>
      <c r="L461" s="17"/>
      <c r="M461" s="17"/>
      <c r="N461" s="17">
        <f t="shared" si="73"/>
        <v>0</v>
      </c>
      <c r="O461" s="104"/>
    </row>
    <row r="462" spans="1:15" ht="13.15" hidden="1" customHeight="1" outlineLevel="1" x14ac:dyDescent="0.25">
      <c r="A462" s="26" t="str">
        <f>IF(K462="","",MAX(A$2:A461)+1)</f>
        <v/>
      </c>
      <c r="B462" s="14"/>
      <c r="C462" s="42" t="s">
        <v>157</v>
      </c>
      <c r="D462" s="5"/>
      <c r="E462" s="41"/>
      <c r="F462" s="41"/>
      <c r="G462" s="41"/>
      <c r="H462" s="103"/>
      <c r="I462" s="41"/>
      <c r="J462" s="92"/>
      <c r="K462" s="88"/>
      <c r="L462" s="17"/>
      <c r="M462" s="17"/>
      <c r="N462" s="17">
        <f t="shared" si="73"/>
        <v>0</v>
      </c>
      <c r="O462" s="104"/>
    </row>
    <row r="463" spans="1:15" ht="13.15" hidden="1" customHeight="1" outlineLevel="1" x14ac:dyDescent="0.25">
      <c r="A463" s="26" t="str">
        <f>IF(K463="","",MAX(A$2:A462)+1)</f>
        <v/>
      </c>
      <c r="B463" s="14"/>
      <c r="C463" s="24" t="s">
        <v>142</v>
      </c>
      <c r="D463" s="5"/>
      <c r="E463" s="41">
        <v>14.5</v>
      </c>
      <c r="F463" s="41" t="s">
        <v>11</v>
      </c>
      <c r="G463" s="41">
        <f>45*0.11</f>
        <v>4.95</v>
      </c>
      <c r="H463" s="103" t="s">
        <v>12</v>
      </c>
      <c r="I463" s="41">
        <f t="shared" ref="I463:I465" si="75">+G463*E463</f>
        <v>71.775000000000006</v>
      </c>
      <c r="J463" s="92"/>
      <c r="K463" s="88"/>
      <c r="L463" s="17"/>
      <c r="M463" s="17"/>
      <c r="N463" s="17">
        <f t="shared" si="73"/>
        <v>0</v>
      </c>
      <c r="O463" s="104"/>
    </row>
    <row r="464" spans="1:15" ht="13.15" hidden="1" customHeight="1" outlineLevel="1" x14ac:dyDescent="0.25">
      <c r="A464" s="26" t="str">
        <f>IF(K464="","",MAX(A$2:A463)+1)</f>
        <v/>
      </c>
      <c r="B464" s="14"/>
      <c r="C464" s="24" t="s">
        <v>144</v>
      </c>
      <c r="D464" s="5"/>
      <c r="E464" s="41">
        <v>14.7</v>
      </c>
      <c r="F464" s="41" t="s">
        <v>11</v>
      </c>
      <c r="G464" s="41">
        <f>19*0.11</f>
        <v>2.09</v>
      </c>
      <c r="H464" s="103" t="s">
        <v>12</v>
      </c>
      <c r="I464" s="41">
        <f t="shared" si="75"/>
        <v>30.722999999999995</v>
      </c>
      <c r="J464" s="92"/>
      <c r="K464" s="88"/>
      <c r="L464" s="17"/>
      <c r="M464" s="17"/>
      <c r="N464" s="17">
        <f t="shared" si="73"/>
        <v>0</v>
      </c>
      <c r="O464" s="104"/>
    </row>
    <row r="465" spans="1:15" ht="13.15" hidden="1" customHeight="1" outlineLevel="1" x14ac:dyDescent="0.25">
      <c r="A465" s="26" t="str">
        <f>IF(K465="","",MAX(A$2:A464)+1)</f>
        <v/>
      </c>
      <c r="B465" s="14"/>
      <c r="C465" s="24" t="s">
        <v>162</v>
      </c>
      <c r="D465" s="5"/>
      <c r="E465" s="41">
        <v>3.5</v>
      </c>
      <c r="F465" s="41" t="s">
        <v>11</v>
      </c>
      <c r="G465" s="41">
        <f>0.11*5</f>
        <v>0.55000000000000004</v>
      </c>
      <c r="H465" s="103" t="s">
        <v>12</v>
      </c>
      <c r="I465" s="41">
        <f t="shared" si="75"/>
        <v>1.9250000000000003</v>
      </c>
      <c r="J465" s="92"/>
      <c r="K465" s="88"/>
      <c r="L465" s="17"/>
      <c r="M465" s="17"/>
      <c r="N465" s="17">
        <f t="shared" si="73"/>
        <v>0</v>
      </c>
      <c r="O465" s="104"/>
    </row>
    <row r="466" spans="1:15" ht="13.15" hidden="1" customHeight="1" outlineLevel="1" x14ac:dyDescent="0.25">
      <c r="A466" s="26" t="str">
        <f>IF(K466="","",MAX(A$2:A465)+1)</f>
        <v/>
      </c>
      <c r="B466" s="14"/>
      <c r="C466" s="42" t="s">
        <v>163</v>
      </c>
      <c r="D466" s="5"/>
      <c r="E466" s="41">
        <v>-1</v>
      </c>
      <c r="F466" s="41" t="s">
        <v>11</v>
      </c>
      <c r="G466" s="41">
        <v>26.9</v>
      </c>
      <c r="H466" s="103" t="s">
        <v>12</v>
      </c>
      <c r="I466" s="41">
        <f>G466*E466</f>
        <v>-26.9</v>
      </c>
      <c r="J466" s="92"/>
      <c r="K466" s="88"/>
      <c r="L466" s="17"/>
      <c r="M466" s="17"/>
      <c r="N466" s="17">
        <f t="shared" si="73"/>
        <v>0</v>
      </c>
      <c r="O466" s="104"/>
    </row>
    <row r="467" spans="1:15" ht="13.15" hidden="1" customHeight="1" outlineLevel="1" x14ac:dyDescent="0.25">
      <c r="A467" s="26" t="str">
        <f>IF(K467="","",MAX(A$2:A466)+1)</f>
        <v/>
      </c>
      <c r="B467" s="14"/>
      <c r="C467" s="42" t="s">
        <v>127</v>
      </c>
      <c r="D467" s="5"/>
      <c r="E467" s="41">
        <v>-1</v>
      </c>
      <c r="F467" s="41" t="s">
        <v>11</v>
      </c>
      <c r="G467" s="41">
        <v>32.799999999999997</v>
      </c>
      <c r="H467" s="103" t="s">
        <v>12</v>
      </c>
      <c r="I467" s="41">
        <f>G467*E467</f>
        <v>-32.799999999999997</v>
      </c>
      <c r="J467" s="92"/>
      <c r="K467" s="88"/>
      <c r="L467" s="17"/>
      <c r="M467" s="17"/>
      <c r="N467" s="17">
        <f t="shared" si="73"/>
        <v>0</v>
      </c>
      <c r="O467" s="56"/>
    </row>
    <row r="468" spans="1:15" ht="13.15" hidden="1" customHeight="1" outlineLevel="1" x14ac:dyDescent="0.25">
      <c r="A468" s="26" t="str">
        <f>IF(K468="","",MAX(A$2:A467)+1)</f>
        <v/>
      </c>
      <c r="B468" s="14"/>
      <c r="C468" s="6"/>
      <c r="D468" s="6"/>
      <c r="E468" s="6"/>
      <c r="F468" s="6"/>
      <c r="G468" s="6"/>
      <c r="H468" s="6"/>
      <c r="I468" s="132">
        <f>SUM(I446:I467)</f>
        <v>379.74135000000007</v>
      </c>
      <c r="J468" s="92"/>
      <c r="K468" s="88"/>
      <c r="L468" s="17"/>
      <c r="M468" s="17"/>
      <c r="N468" s="17">
        <f t="shared" si="73"/>
        <v>0</v>
      </c>
      <c r="O468" s="56"/>
    </row>
    <row r="469" spans="1:15" ht="15" customHeight="1" x14ac:dyDescent="0.25">
      <c r="A469" s="26" t="str">
        <f>IF(K469="","",MAX(A$2:A468)+1)</f>
        <v/>
      </c>
      <c r="B469" s="14"/>
      <c r="C469" s="21"/>
      <c r="D469" s="5"/>
      <c r="E469" s="5"/>
      <c r="F469" s="5"/>
      <c r="G469" s="5"/>
      <c r="H469" s="5"/>
      <c r="I469" s="5"/>
      <c r="J469" s="88"/>
      <c r="K469" s="88"/>
      <c r="L469" s="17"/>
      <c r="M469" s="17"/>
      <c r="N469" s="17">
        <f t="shared" si="73"/>
        <v>0</v>
      </c>
      <c r="O469" s="56"/>
    </row>
    <row r="470" spans="1:15" ht="15" customHeight="1" x14ac:dyDescent="0.25">
      <c r="A470" s="26" t="str">
        <f>IF(K470="","",MAX(A$2:A469)+1)</f>
        <v/>
      </c>
      <c r="B470" s="14" t="s">
        <v>16</v>
      </c>
      <c r="C470" s="21" t="s">
        <v>109</v>
      </c>
      <c r="D470" s="5"/>
      <c r="E470" s="5"/>
      <c r="F470" s="5"/>
      <c r="G470" s="5"/>
      <c r="H470" s="5"/>
      <c r="I470" s="5"/>
      <c r="J470" s="88"/>
      <c r="K470" s="88"/>
      <c r="L470" s="17"/>
      <c r="M470" s="17"/>
      <c r="N470" s="17">
        <f t="shared" si="73"/>
        <v>0</v>
      </c>
      <c r="O470" s="56"/>
    </row>
    <row r="471" spans="1:15" ht="15" customHeight="1" x14ac:dyDescent="0.25">
      <c r="A471" s="26">
        <f>IF(K471="","",MAX(A$2:A470)+1)</f>
        <v>103</v>
      </c>
      <c r="B471" s="14"/>
      <c r="C471" s="23" t="s">
        <v>291</v>
      </c>
      <c r="D471" s="5"/>
      <c r="E471" s="5"/>
      <c r="F471" s="5"/>
      <c r="G471" s="5"/>
      <c r="H471" s="5"/>
      <c r="I471" s="5"/>
      <c r="J471" s="88"/>
      <c r="K471" s="88" t="s">
        <v>56</v>
      </c>
      <c r="L471" s="17">
        <f>+L445</f>
        <v>399</v>
      </c>
      <c r="M471" s="17"/>
      <c r="N471" s="17">
        <f t="shared" ref="N471:N473" si="76">+M471*L471</f>
        <v>0</v>
      </c>
      <c r="O471" s="56"/>
    </row>
    <row r="472" spans="1:15" ht="15" customHeight="1" x14ac:dyDescent="0.25">
      <c r="A472" s="26" t="str">
        <f>IF(K472="","",MAX(A$2:A471)+1)</f>
        <v/>
      </c>
      <c r="B472" s="14"/>
      <c r="C472" s="43"/>
      <c r="D472" s="5"/>
      <c r="E472" s="5"/>
      <c r="F472" s="5"/>
      <c r="G472" s="5"/>
      <c r="H472" s="5"/>
      <c r="I472" s="5"/>
      <c r="J472" s="88"/>
      <c r="K472" s="88"/>
      <c r="L472" s="17"/>
      <c r="M472" s="6"/>
      <c r="N472" s="17">
        <f t="shared" si="76"/>
        <v>0</v>
      </c>
      <c r="O472" s="56"/>
    </row>
    <row r="473" spans="1:15" ht="15" customHeight="1" x14ac:dyDescent="0.25">
      <c r="A473" s="26" t="str">
        <f>IF(K473="","",MAX(A$2:A472)+1)</f>
        <v/>
      </c>
      <c r="B473" s="14" t="s">
        <v>17</v>
      </c>
      <c r="C473" s="21" t="s">
        <v>40</v>
      </c>
      <c r="D473" s="5"/>
      <c r="E473" s="5"/>
      <c r="F473" s="5"/>
      <c r="G473" s="5"/>
      <c r="H473" s="5"/>
      <c r="I473" s="5"/>
      <c r="J473" s="88"/>
      <c r="K473" s="88"/>
      <c r="L473" s="17"/>
      <c r="M473" s="17"/>
      <c r="N473" s="17">
        <f t="shared" si="76"/>
        <v>0</v>
      </c>
      <c r="O473" s="56"/>
    </row>
    <row r="474" spans="1:15" ht="15" customHeight="1" x14ac:dyDescent="0.25">
      <c r="A474" s="26">
        <f>IF(K474="","",MAX(A$2:A473)+1)</f>
        <v>104</v>
      </c>
      <c r="B474" s="14"/>
      <c r="C474" s="23" t="s">
        <v>245</v>
      </c>
      <c r="D474" s="5"/>
      <c r="E474" s="5"/>
      <c r="F474" s="5"/>
      <c r="G474" s="5"/>
      <c r="H474" s="5"/>
      <c r="I474" s="5"/>
      <c r="J474" s="88"/>
      <c r="K474" s="88" t="s">
        <v>56</v>
      </c>
      <c r="L474" s="17">
        <f>+L445</f>
        <v>399</v>
      </c>
      <c r="M474" s="17"/>
      <c r="N474" s="17">
        <f>+M474*L474</f>
        <v>0</v>
      </c>
      <c r="O474" s="56"/>
    </row>
    <row r="475" spans="1:15" ht="15" customHeight="1" x14ac:dyDescent="0.25">
      <c r="A475" s="26" t="str">
        <f>IF(K475="","",MAX(A$2:A474)+1)</f>
        <v/>
      </c>
      <c r="B475" s="14"/>
      <c r="C475" s="48"/>
      <c r="D475" s="5"/>
      <c r="E475" s="41"/>
      <c r="F475" s="41"/>
      <c r="G475" s="41"/>
      <c r="H475" s="103"/>
      <c r="I475" s="103"/>
      <c r="J475" s="49"/>
      <c r="K475" s="88"/>
      <c r="L475" s="17"/>
      <c r="M475" s="17"/>
      <c r="N475" s="17"/>
    </row>
    <row r="476" spans="1:15" ht="15" customHeight="1" x14ac:dyDescent="0.25">
      <c r="A476" s="26" t="str">
        <f>IF(K476="","",MAX(A$2:A475)+1)</f>
        <v/>
      </c>
      <c r="B476" s="14" t="s">
        <v>18</v>
      </c>
      <c r="C476" s="21" t="s">
        <v>294</v>
      </c>
      <c r="D476" s="5"/>
      <c r="E476" s="5"/>
      <c r="F476" s="5"/>
      <c r="G476" s="5"/>
      <c r="H476" s="5"/>
      <c r="I476" s="5"/>
      <c r="J476" s="88"/>
      <c r="K476" s="88"/>
      <c r="L476" s="17"/>
      <c r="M476" s="17"/>
      <c r="N476" s="17">
        <f t="shared" ref="N476" si="77">+M476*L476</f>
        <v>0</v>
      </c>
      <c r="O476" s="56"/>
    </row>
    <row r="477" spans="1:15" ht="15" customHeight="1" x14ac:dyDescent="0.25">
      <c r="A477" s="26">
        <f>IF(K477="","",MAX(A$2:A476)+1)</f>
        <v>105</v>
      </c>
      <c r="B477" s="14"/>
      <c r="C477" s="23" t="s">
        <v>70</v>
      </c>
      <c r="D477" s="5"/>
      <c r="E477" s="5"/>
      <c r="F477" s="5"/>
      <c r="G477" s="5"/>
      <c r="H477" s="5"/>
      <c r="I477" s="5"/>
      <c r="J477" s="88"/>
      <c r="K477" s="88" t="s">
        <v>39</v>
      </c>
      <c r="L477" s="17">
        <f>+L445</f>
        <v>399</v>
      </c>
      <c r="M477" s="17"/>
      <c r="N477" s="17">
        <f>+M477*L477</f>
        <v>0</v>
      </c>
      <c r="O477" s="56"/>
    </row>
    <row r="478" spans="1:15" ht="15" customHeight="1" x14ac:dyDescent="0.25">
      <c r="A478" s="26" t="str">
        <f>IF(K478="","",MAX(A$2:A477)+1)</f>
        <v/>
      </c>
      <c r="B478" s="14"/>
      <c r="C478" s="44"/>
      <c r="D478" s="48"/>
      <c r="E478" s="5"/>
      <c r="F478" s="5"/>
      <c r="G478" s="5"/>
      <c r="H478" s="5"/>
      <c r="I478" s="5"/>
      <c r="J478" s="58"/>
      <c r="K478" s="88"/>
      <c r="L478" s="17"/>
      <c r="M478" s="17"/>
      <c r="N478" s="17">
        <f t="shared" ref="N478:N496" si="78">+M478*L478</f>
        <v>0</v>
      </c>
      <c r="O478" s="56"/>
    </row>
    <row r="479" spans="1:15" ht="15" customHeight="1" x14ac:dyDescent="0.25">
      <c r="A479" s="26" t="str">
        <f>IF(K479="","",MAX(A$2:A478)+1)</f>
        <v/>
      </c>
      <c r="B479" s="14" t="s">
        <v>20</v>
      </c>
      <c r="C479" s="21" t="s">
        <v>43</v>
      </c>
      <c r="D479" s="5"/>
      <c r="E479" s="5"/>
      <c r="F479" s="5"/>
      <c r="G479" s="6"/>
      <c r="H479" s="6"/>
      <c r="I479" s="6"/>
      <c r="J479" s="91"/>
      <c r="K479" s="88"/>
      <c r="L479" s="17"/>
      <c r="M479" s="17"/>
      <c r="N479" s="17">
        <f t="shared" ref="N479:N487" si="79">+M479*L479</f>
        <v>0</v>
      </c>
      <c r="O479" s="56"/>
    </row>
    <row r="480" spans="1:15" ht="21" customHeight="1" collapsed="1" x14ac:dyDescent="0.25">
      <c r="A480" s="26">
        <f>IF(K480="","",MAX(A$2:A479)+1)</f>
        <v>106</v>
      </c>
      <c r="B480" s="14"/>
      <c r="C480" s="231" t="s">
        <v>295</v>
      </c>
      <c r="D480" s="232"/>
      <c r="E480" s="232"/>
      <c r="F480" s="232"/>
      <c r="G480" s="232"/>
      <c r="H480" s="232"/>
      <c r="I480" s="232"/>
      <c r="J480" s="233"/>
      <c r="K480" s="88" t="s">
        <v>27</v>
      </c>
      <c r="L480" s="17">
        <f>ROUNDUP(I486,)</f>
        <v>152</v>
      </c>
      <c r="M480" s="17"/>
      <c r="N480" s="17">
        <f t="shared" si="79"/>
        <v>0</v>
      </c>
      <c r="O480" s="56"/>
    </row>
    <row r="481" spans="1:15" ht="15" hidden="1" customHeight="1" outlineLevel="1" x14ac:dyDescent="0.25">
      <c r="A481" s="26" t="str">
        <f>IF(K481="","",MAX(A$2:A480)+1)</f>
        <v/>
      </c>
      <c r="B481" s="14"/>
      <c r="C481" s="42" t="s">
        <v>147</v>
      </c>
      <c r="D481" s="5"/>
      <c r="E481" s="46"/>
      <c r="F481" s="41"/>
      <c r="G481" s="41"/>
      <c r="H481" s="103" t="s">
        <v>12</v>
      </c>
      <c r="I481" s="41">
        <v>64.7</v>
      </c>
      <c r="J481" s="58"/>
      <c r="K481" s="88"/>
      <c r="L481" s="17"/>
      <c r="M481" s="17"/>
      <c r="N481" s="17">
        <f t="shared" si="79"/>
        <v>0</v>
      </c>
      <c r="O481" s="104"/>
    </row>
    <row r="482" spans="1:15" ht="15" hidden="1" customHeight="1" outlineLevel="1" x14ac:dyDescent="0.25">
      <c r="A482" s="26" t="str">
        <f>IF(K482="","",MAX(A$2:A481)+1)</f>
        <v/>
      </c>
      <c r="B482" s="14"/>
      <c r="C482" s="42" t="s">
        <v>148</v>
      </c>
      <c r="D482" s="5"/>
      <c r="E482" s="46"/>
      <c r="F482" s="41"/>
      <c r="G482" s="41"/>
      <c r="H482" s="103" t="s">
        <v>12</v>
      </c>
      <c r="I482" s="41">
        <v>51</v>
      </c>
      <c r="J482" s="58"/>
      <c r="K482" s="88"/>
      <c r="L482" s="17"/>
      <c r="M482" s="17"/>
      <c r="N482" s="17">
        <f t="shared" si="79"/>
        <v>0</v>
      </c>
      <c r="O482" s="104"/>
    </row>
    <row r="483" spans="1:15" ht="15" hidden="1" customHeight="1" outlineLevel="1" x14ac:dyDescent="0.25">
      <c r="A483" s="26" t="str">
        <f>IF(K483="","",MAX(A$2:A482)+1)</f>
        <v/>
      </c>
      <c r="B483" s="14"/>
      <c r="C483" s="42" t="s">
        <v>164</v>
      </c>
      <c r="D483" s="5"/>
      <c r="E483" s="46"/>
      <c r="F483" s="41"/>
      <c r="G483" s="41"/>
      <c r="H483" s="103" t="s">
        <v>12</v>
      </c>
      <c r="I483" s="41">
        <v>5</v>
      </c>
      <c r="J483" s="58"/>
      <c r="K483" s="88"/>
      <c r="L483" s="17"/>
      <c r="M483" s="17"/>
      <c r="N483" s="17">
        <f t="shared" si="79"/>
        <v>0</v>
      </c>
      <c r="O483" s="104"/>
    </row>
    <row r="484" spans="1:15" ht="15" hidden="1" customHeight="1" outlineLevel="1" x14ac:dyDescent="0.25">
      <c r="A484" s="26" t="str">
        <f>IF(K484="","",MAX(A$2:A483)+1)</f>
        <v/>
      </c>
      <c r="B484" s="14"/>
      <c r="C484" s="42" t="s">
        <v>114</v>
      </c>
      <c r="D484" s="5"/>
      <c r="E484" s="46"/>
      <c r="F484" s="41"/>
      <c r="G484" s="41"/>
      <c r="H484" s="103" t="s">
        <v>12</v>
      </c>
      <c r="I484" s="41">
        <f>1+0.6+0.7</f>
        <v>2.2999999999999998</v>
      </c>
      <c r="J484" s="58"/>
      <c r="K484" s="88"/>
      <c r="L484" s="17"/>
      <c r="M484" s="17"/>
      <c r="N484" s="17">
        <f t="shared" si="79"/>
        <v>0</v>
      </c>
      <c r="O484" s="104"/>
    </row>
    <row r="485" spans="1:15" ht="15" hidden="1" customHeight="1" outlineLevel="1" x14ac:dyDescent="0.25">
      <c r="A485" s="26" t="str">
        <f>IF(K485="","",MAX(A$2:A484)+1)</f>
        <v/>
      </c>
      <c r="B485" s="14"/>
      <c r="C485" s="42" t="s">
        <v>63</v>
      </c>
      <c r="D485" s="5"/>
      <c r="E485" s="46"/>
      <c r="F485" s="41"/>
      <c r="G485" s="41"/>
      <c r="H485" s="103" t="s">
        <v>12</v>
      </c>
      <c r="I485" s="41">
        <v>29</v>
      </c>
      <c r="J485" s="58"/>
      <c r="K485" s="88"/>
      <c r="L485" s="17"/>
      <c r="M485" s="17"/>
      <c r="N485" s="17">
        <f t="shared" si="79"/>
        <v>0</v>
      </c>
      <c r="O485" s="104"/>
    </row>
    <row r="486" spans="1:15" ht="15" hidden="1" customHeight="1" outlineLevel="1" x14ac:dyDescent="0.25">
      <c r="A486" s="26" t="str">
        <f>IF(K486="","",MAX(A$2:A485)+1)</f>
        <v/>
      </c>
      <c r="B486" s="14"/>
      <c r="C486" s="42"/>
      <c r="D486" s="5"/>
      <c r="E486" s="46"/>
      <c r="F486" s="41"/>
      <c r="G486" s="41"/>
      <c r="H486" s="103"/>
      <c r="I486" s="132">
        <f>SUM(I481:I485)</f>
        <v>152</v>
      </c>
      <c r="J486" s="58"/>
      <c r="K486" s="88"/>
      <c r="L486" s="17"/>
      <c r="M486" s="17"/>
      <c r="N486" s="17">
        <f t="shared" si="79"/>
        <v>0</v>
      </c>
      <c r="O486" s="104"/>
    </row>
    <row r="487" spans="1:15" ht="15" customHeight="1" x14ac:dyDescent="0.25">
      <c r="A487" s="26" t="str">
        <f>IF(K487="","",MAX(A$2:A486)+1)</f>
        <v/>
      </c>
      <c r="B487" s="14"/>
      <c r="C487" s="21"/>
      <c r="D487" s="5"/>
      <c r="E487" s="5"/>
      <c r="F487" s="5"/>
      <c r="G487" s="5"/>
      <c r="H487" s="5"/>
      <c r="I487" s="5"/>
      <c r="J487" s="58"/>
      <c r="K487" s="88"/>
      <c r="L487" s="17"/>
      <c r="M487" s="17"/>
      <c r="N487" s="17">
        <f t="shared" si="79"/>
        <v>0</v>
      </c>
      <c r="O487" s="56"/>
    </row>
    <row r="488" spans="1:15" ht="15" customHeight="1" x14ac:dyDescent="0.25">
      <c r="A488" s="26" t="str">
        <f>IF(K488="","",MAX(A$2:A487)+1)</f>
        <v/>
      </c>
      <c r="B488" s="14" t="s">
        <v>21</v>
      </c>
      <c r="C488" s="21" t="s">
        <v>296</v>
      </c>
      <c r="D488" s="5"/>
      <c r="E488" s="5"/>
      <c r="F488" s="5"/>
      <c r="G488" s="5"/>
      <c r="H488" s="5"/>
      <c r="I488" s="5"/>
      <c r="J488" s="88"/>
      <c r="K488" s="88"/>
      <c r="L488" s="17"/>
      <c r="M488" s="17"/>
      <c r="N488" s="17">
        <f t="shared" si="78"/>
        <v>0</v>
      </c>
      <c r="O488" s="56"/>
    </row>
    <row r="489" spans="1:15" ht="15" customHeight="1" x14ac:dyDescent="0.25">
      <c r="A489" s="26">
        <f>IF(K489="","",MAX(A$2:A488)+1)</f>
        <v>107</v>
      </c>
      <c r="B489" s="14"/>
      <c r="C489" s="43" t="s">
        <v>131</v>
      </c>
      <c r="D489" s="93"/>
      <c r="E489" s="93"/>
      <c r="F489" s="93"/>
      <c r="G489" s="93"/>
      <c r="H489" s="93"/>
      <c r="I489" s="93"/>
      <c r="J489" s="83"/>
      <c r="K489" s="88" t="s">
        <v>27</v>
      </c>
      <c r="L489" s="17">
        <v>17.2</v>
      </c>
      <c r="M489" s="17"/>
      <c r="N489" s="17">
        <f t="shared" si="78"/>
        <v>0</v>
      </c>
      <c r="O489" s="56"/>
    </row>
    <row r="490" spans="1:15" ht="15" customHeight="1" x14ac:dyDescent="0.25">
      <c r="A490" s="26">
        <f>IF(K490="","",MAX(A$2:A489)+1)</f>
        <v>108</v>
      </c>
      <c r="B490" s="14"/>
      <c r="C490" s="43" t="s">
        <v>132</v>
      </c>
      <c r="D490" s="93"/>
      <c r="E490" s="93"/>
      <c r="F490" s="93"/>
      <c r="G490" s="93"/>
      <c r="H490" s="93"/>
      <c r="I490" s="93"/>
      <c r="J490" s="83"/>
      <c r="K490" s="88" t="s">
        <v>27</v>
      </c>
      <c r="L490" s="17">
        <v>17.2</v>
      </c>
      <c r="M490" s="17"/>
      <c r="N490" s="17">
        <f t="shared" si="78"/>
        <v>0</v>
      </c>
      <c r="O490" s="56"/>
    </row>
    <row r="491" spans="1:15" ht="15" customHeight="1" x14ac:dyDescent="0.25">
      <c r="A491" s="26">
        <f>IF(K491="","",MAX(A$2:A490)+1)</f>
        <v>109</v>
      </c>
      <c r="B491" s="14" t="s">
        <v>23</v>
      </c>
      <c r="C491" s="105" t="s">
        <v>133</v>
      </c>
      <c r="D491" s="93"/>
      <c r="E491" s="93"/>
      <c r="F491" s="93"/>
      <c r="G491" s="93"/>
      <c r="H491" s="93"/>
      <c r="I491" s="93"/>
      <c r="J491" s="83"/>
      <c r="K491" s="88" t="s">
        <v>60</v>
      </c>
      <c r="L491" s="54">
        <v>17</v>
      </c>
      <c r="M491" s="17"/>
      <c r="N491" s="17">
        <f t="shared" si="78"/>
        <v>0</v>
      </c>
      <c r="O491" s="56"/>
    </row>
    <row r="492" spans="1:15" ht="15" customHeight="1" x14ac:dyDescent="0.25">
      <c r="A492" s="26" t="str">
        <f>IF(K492="","",MAX(A$2:A491)+1)</f>
        <v/>
      </c>
      <c r="B492" s="14"/>
      <c r="C492" s="48"/>
      <c r="D492" s="5"/>
      <c r="E492" s="41"/>
      <c r="F492" s="41"/>
      <c r="G492" s="41"/>
      <c r="H492" s="103"/>
      <c r="I492" s="103"/>
      <c r="J492" s="49"/>
      <c r="K492" s="88"/>
      <c r="L492" s="17"/>
      <c r="M492" s="17"/>
      <c r="N492" s="17">
        <f t="shared" si="78"/>
        <v>0</v>
      </c>
    </row>
    <row r="493" spans="1:15" ht="15" customHeight="1" x14ac:dyDescent="0.25">
      <c r="A493" s="26" t="str">
        <f>IF(K493="","",MAX(A$2:A492)+1)</f>
        <v/>
      </c>
      <c r="B493" s="14" t="s">
        <v>22</v>
      </c>
      <c r="C493" s="21" t="s">
        <v>390</v>
      </c>
      <c r="D493" s="5"/>
      <c r="E493" s="5"/>
      <c r="F493" s="5"/>
      <c r="G493" s="5"/>
      <c r="H493" s="5"/>
      <c r="I493" s="5"/>
      <c r="J493" s="88"/>
      <c r="K493" s="88"/>
      <c r="L493" s="17"/>
      <c r="M493" s="17"/>
      <c r="N493" s="17">
        <f t="shared" si="78"/>
        <v>0</v>
      </c>
      <c r="O493" s="56"/>
    </row>
    <row r="494" spans="1:15" ht="15" customHeight="1" x14ac:dyDescent="0.25">
      <c r="A494" s="26">
        <f>IF(K494="","",MAX(A$2:A493)+1)</f>
        <v>110</v>
      </c>
      <c r="B494" s="14"/>
      <c r="C494" s="23" t="s">
        <v>391</v>
      </c>
      <c r="D494" s="5"/>
      <c r="E494" s="5"/>
      <c r="F494" s="5"/>
      <c r="G494" s="5"/>
      <c r="H494" s="5"/>
      <c r="I494" s="5"/>
      <c r="J494" s="88"/>
      <c r="K494" s="88" t="s">
        <v>27</v>
      </c>
      <c r="L494" s="17">
        <v>41</v>
      </c>
      <c r="M494" s="17"/>
      <c r="N494" s="17">
        <f t="shared" si="78"/>
        <v>0</v>
      </c>
      <c r="O494" s="56"/>
    </row>
    <row r="495" spans="1:15" ht="15" customHeight="1" x14ac:dyDescent="0.25">
      <c r="A495" s="26" t="str">
        <f>IF(K495="","",MAX(A$2:A494)+1)</f>
        <v/>
      </c>
      <c r="B495" s="14"/>
      <c r="C495" s="21"/>
      <c r="D495" s="5"/>
      <c r="E495" s="5"/>
      <c r="F495" s="5"/>
      <c r="G495" s="5"/>
      <c r="H495" s="5"/>
      <c r="I495" s="5"/>
      <c r="J495" s="88"/>
      <c r="K495" s="88"/>
      <c r="L495" s="17"/>
      <c r="M495" s="17"/>
      <c r="N495" s="17">
        <f t="shared" si="78"/>
        <v>0</v>
      </c>
      <c r="O495" s="56"/>
    </row>
    <row r="496" spans="1:15" ht="15" customHeight="1" x14ac:dyDescent="0.25">
      <c r="A496" s="26" t="str">
        <f>IF(K496="","",MAX(A$2:A495)+1)</f>
        <v/>
      </c>
      <c r="B496" s="14" t="s">
        <v>375</v>
      </c>
      <c r="C496" s="21" t="s">
        <v>45</v>
      </c>
      <c r="D496" s="5"/>
      <c r="E496" s="5"/>
      <c r="F496" s="5"/>
      <c r="G496" s="5"/>
      <c r="H496" s="5"/>
      <c r="I496" s="5"/>
      <c r="J496" s="58"/>
      <c r="K496" s="88"/>
      <c r="L496" s="17"/>
      <c r="M496" s="17"/>
      <c r="N496" s="17">
        <f t="shared" si="78"/>
        <v>0</v>
      </c>
      <c r="O496" s="56"/>
    </row>
    <row r="497" spans="1:15" ht="22.5" customHeight="1" collapsed="1" x14ac:dyDescent="0.25">
      <c r="A497" s="26">
        <f>IF(K497="","",MAX(A$2:A496)+1)</f>
        <v>111</v>
      </c>
      <c r="B497" s="14"/>
      <c r="C497" s="240" t="s">
        <v>297</v>
      </c>
      <c r="D497" s="241"/>
      <c r="E497" s="241"/>
      <c r="F497" s="241"/>
      <c r="G497" s="241"/>
      <c r="H497" s="241"/>
      <c r="I497" s="241"/>
      <c r="J497" s="242"/>
      <c r="K497" s="88" t="s">
        <v>27</v>
      </c>
      <c r="L497" s="17">
        <f>I500</f>
        <v>24</v>
      </c>
      <c r="M497" s="17"/>
      <c r="N497" s="17">
        <f>+M497*L497</f>
        <v>0</v>
      </c>
      <c r="O497" s="56"/>
    </row>
    <row r="498" spans="1:15" s="119" customFormat="1" ht="13.15" hidden="1" customHeight="1" outlineLevel="1" x14ac:dyDescent="0.25">
      <c r="A498" s="26" t="str">
        <f>IF(K498="","",MAX(A$2:A497)+1)</f>
        <v/>
      </c>
      <c r="B498" s="205"/>
      <c r="C498" s="194" t="s">
        <v>156</v>
      </c>
      <c r="D498" s="195"/>
      <c r="E498" s="195"/>
      <c r="F498" s="195"/>
      <c r="G498" s="195"/>
      <c r="H498" s="117" t="s">
        <v>12</v>
      </c>
      <c r="I498" s="63">
        <v>13</v>
      </c>
      <c r="J498" s="196"/>
      <c r="K498" s="150"/>
      <c r="L498" s="118"/>
      <c r="M498" s="118"/>
      <c r="N498" s="118"/>
      <c r="O498" s="151"/>
    </row>
    <row r="499" spans="1:15" s="119" customFormat="1" ht="13.15" hidden="1" customHeight="1" outlineLevel="1" x14ac:dyDescent="0.25">
      <c r="A499" s="26" t="str">
        <f>IF(K499="","",MAX(A$2:A498)+1)</f>
        <v/>
      </c>
      <c r="B499" s="205"/>
      <c r="C499" s="194" t="s">
        <v>231</v>
      </c>
      <c r="D499" s="195"/>
      <c r="E499" s="195"/>
      <c r="F499" s="195"/>
      <c r="G499" s="195"/>
      <c r="H499" s="117" t="s">
        <v>12</v>
      </c>
      <c r="I499" s="63">
        <v>11</v>
      </c>
      <c r="J499" s="196"/>
      <c r="K499" s="150"/>
      <c r="L499" s="118"/>
      <c r="M499" s="118"/>
      <c r="N499" s="118"/>
      <c r="O499" s="151"/>
    </row>
    <row r="500" spans="1:15" s="119" customFormat="1" ht="13.15" hidden="1" customHeight="1" outlineLevel="1" x14ac:dyDescent="0.25">
      <c r="A500" s="26" t="str">
        <f>IF(K500="","",MAX(A$2:A499)+1)</f>
        <v/>
      </c>
      <c r="B500" s="205"/>
      <c r="C500" s="197"/>
      <c r="D500" s="195"/>
      <c r="E500" s="195"/>
      <c r="F500" s="195"/>
      <c r="G500" s="195"/>
      <c r="H500" s="195"/>
      <c r="I500" s="171">
        <f>SUM(I498:I499)</f>
        <v>24</v>
      </c>
      <c r="J500" s="196"/>
      <c r="K500" s="150"/>
      <c r="L500" s="118"/>
      <c r="M500" s="118"/>
      <c r="N500" s="118"/>
      <c r="O500" s="151"/>
    </row>
    <row r="501" spans="1:15" ht="22.5" customHeight="1" collapsed="1" x14ac:dyDescent="0.25">
      <c r="A501" s="26">
        <f>IF(K501="","",MAX(A$2:A500)+1)</f>
        <v>112</v>
      </c>
      <c r="B501" s="14"/>
      <c r="C501" s="240" t="s">
        <v>298</v>
      </c>
      <c r="D501" s="241"/>
      <c r="E501" s="241"/>
      <c r="F501" s="241"/>
      <c r="G501" s="241"/>
      <c r="H501" s="241"/>
      <c r="I501" s="241"/>
      <c r="J501" s="242"/>
      <c r="K501" s="88" t="s">
        <v>27</v>
      </c>
      <c r="L501" s="17">
        <f>I504</f>
        <v>5</v>
      </c>
      <c r="M501" s="17"/>
      <c r="N501" s="17">
        <f>+M501*L501</f>
        <v>0</v>
      </c>
      <c r="O501" s="56"/>
    </row>
    <row r="502" spans="1:15" s="119" customFormat="1" ht="13.15" hidden="1" customHeight="1" outlineLevel="1" x14ac:dyDescent="0.25">
      <c r="A502" s="26" t="str">
        <f>IF(K502="","",MAX(A$2:A501)+1)</f>
        <v/>
      </c>
      <c r="B502" s="205"/>
      <c r="C502" s="194" t="s">
        <v>304</v>
      </c>
      <c r="D502" s="195"/>
      <c r="E502" s="195"/>
      <c r="F502" s="195"/>
      <c r="G502" s="195"/>
      <c r="H502" s="117" t="s">
        <v>12</v>
      </c>
      <c r="I502" s="63">
        <v>5</v>
      </c>
      <c r="J502" s="196"/>
      <c r="K502" s="150"/>
      <c r="L502" s="118"/>
      <c r="M502" s="118"/>
      <c r="N502" s="118"/>
      <c r="O502" s="151"/>
    </row>
    <row r="503" spans="1:15" s="119" customFormat="1" ht="6.6" hidden="1" customHeight="1" outlineLevel="1" x14ac:dyDescent="0.25">
      <c r="A503" s="26" t="str">
        <f>IF(K503="","",MAX(A$2:A502)+1)</f>
        <v/>
      </c>
      <c r="B503" s="205"/>
      <c r="C503" s="194"/>
      <c r="D503" s="195"/>
      <c r="E503" s="195"/>
      <c r="F503" s="195"/>
      <c r="G503" s="195"/>
      <c r="H503" s="117"/>
      <c r="I503" s="63"/>
      <c r="J503" s="196"/>
      <c r="K503" s="150"/>
      <c r="L503" s="118"/>
      <c r="M503" s="118"/>
      <c r="N503" s="118"/>
      <c r="O503" s="151"/>
    </row>
    <row r="504" spans="1:15" s="119" customFormat="1" ht="13.15" hidden="1" customHeight="1" outlineLevel="1" x14ac:dyDescent="0.25">
      <c r="A504" s="26" t="str">
        <f>IF(K504="","",MAX(A$2:A503)+1)</f>
        <v/>
      </c>
      <c r="B504" s="205"/>
      <c r="C504" s="197"/>
      <c r="D504" s="195"/>
      <c r="E504" s="195"/>
      <c r="F504" s="195"/>
      <c r="G504" s="195"/>
      <c r="H504" s="195"/>
      <c r="I504" s="171">
        <f>SUM(I502:I503)</f>
        <v>5</v>
      </c>
      <c r="J504" s="196"/>
      <c r="K504" s="150"/>
      <c r="L504" s="118"/>
      <c r="M504" s="118"/>
      <c r="N504" s="118"/>
      <c r="O504" s="151"/>
    </row>
    <row r="505" spans="1:15" ht="13.15" customHeight="1" x14ac:dyDescent="0.25">
      <c r="A505" s="26" t="str">
        <f>IF(K505="","",MAX(A$2:A504)+1)</f>
        <v/>
      </c>
      <c r="B505" s="14"/>
      <c r="C505" s="105"/>
      <c r="D505" s="105"/>
      <c r="E505" s="105"/>
      <c r="F505" s="105"/>
      <c r="G505" s="105"/>
      <c r="H505" s="105"/>
      <c r="I505" s="105"/>
      <c r="J505" s="193"/>
      <c r="K505" s="88"/>
      <c r="L505" s="17"/>
      <c r="M505" s="17"/>
      <c r="N505" s="17"/>
      <c r="O505" s="56"/>
    </row>
    <row r="506" spans="1:15" ht="15" customHeight="1" x14ac:dyDescent="0.25">
      <c r="A506" s="26" t="str">
        <f>IF(K506="","",MAX(A$2:A505)+1)</f>
        <v/>
      </c>
      <c r="B506" s="14" t="s">
        <v>375</v>
      </c>
      <c r="C506" s="21" t="s">
        <v>57</v>
      </c>
      <c r="D506" s="5"/>
      <c r="E506" s="5"/>
      <c r="F506" s="5"/>
      <c r="G506" s="5"/>
      <c r="H506" s="5"/>
      <c r="I506" s="5"/>
      <c r="J506" s="88"/>
      <c r="K506" s="88"/>
      <c r="L506" s="54"/>
      <c r="M506" s="17"/>
      <c r="N506" s="17"/>
      <c r="O506" s="56"/>
    </row>
    <row r="507" spans="1:15" ht="15" customHeight="1" x14ac:dyDescent="0.25">
      <c r="A507" s="26">
        <f>IF(K507="","",MAX(A$2:A506)+1)</f>
        <v>113</v>
      </c>
      <c r="B507" s="14"/>
      <c r="C507" s="23" t="s">
        <v>165</v>
      </c>
      <c r="D507" s="5"/>
      <c r="E507" s="5"/>
      <c r="F507" s="5"/>
      <c r="G507" s="5"/>
      <c r="H507" s="5"/>
      <c r="I507" s="5"/>
      <c r="J507" s="88"/>
      <c r="K507" s="88" t="s">
        <v>60</v>
      </c>
      <c r="L507" s="54">
        <v>2</v>
      </c>
      <c r="M507" s="17"/>
      <c r="N507" s="17">
        <f>+M507*L507</f>
        <v>0</v>
      </c>
      <c r="O507" s="56"/>
    </row>
    <row r="508" spans="1:15" ht="15" customHeight="1" x14ac:dyDescent="0.25">
      <c r="A508" s="26" t="str">
        <f>IF(K508="","",MAX(A$2:A507)+1)</f>
        <v/>
      </c>
      <c r="B508" s="14"/>
      <c r="C508" s="23"/>
      <c r="D508" s="5"/>
      <c r="E508" s="5"/>
      <c r="F508" s="5"/>
      <c r="G508" s="5"/>
      <c r="H508" s="5"/>
      <c r="I508" s="5"/>
      <c r="J508" s="88"/>
      <c r="K508" s="115"/>
      <c r="L508" s="17"/>
      <c r="M508" s="17"/>
      <c r="N508" s="17">
        <f t="shared" ref="N508:N518" si="80">+M508*L508</f>
        <v>0</v>
      </c>
      <c r="O508" s="56"/>
    </row>
    <row r="509" spans="1:15" ht="15" customHeight="1" x14ac:dyDescent="0.25">
      <c r="A509" s="26" t="str">
        <f>IF(K509="","",MAX(A$2:A508)+1)</f>
        <v/>
      </c>
      <c r="B509" s="14" t="s">
        <v>24</v>
      </c>
      <c r="C509" s="21" t="s">
        <v>73</v>
      </c>
      <c r="D509" s="5"/>
      <c r="E509" s="5"/>
      <c r="F509" s="5"/>
      <c r="G509" s="5"/>
      <c r="H509" s="5"/>
      <c r="I509" s="5"/>
      <c r="J509" s="88"/>
      <c r="K509" s="115"/>
      <c r="L509" s="17"/>
      <c r="M509" s="17"/>
      <c r="N509" s="17">
        <f t="shared" si="80"/>
        <v>0</v>
      </c>
      <c r="O509" s="56"/>
    </row>
    <row r="510" spans="1:15" ht="15" customHeight="1" x14ac:dyDescent="0.25">
      <c r="A510" s="26">
        <f>IF(K510="","",MAX(A$2:A509)+1)</f>
        <v>114</v>
      </c>
      <c r="B510" s="14"/>
      <c r="C510" s="23" t="s">
        <v>149</v>
      </c>
      <c r="D510" s="5"/>
      <c r="E510" s="5"/>
      <c r="F510" s="5"/>
      <c r="G510" s="5"/>
      <c r="H510" s="5"/>
      <c r="I510" s="5"/>
      <c r="J510" s="88"/>
      <c r="K510" s="115" t="s">
        <v>27</v>
      </c>
      <c r="L510" s="17">
        <v>65</v>
      </c>
      <c r="M510" s="17"/>
      <c r="N510" s="17">
        <f>+M510*L510</f>
        <v>0</v>
      </c>
      <c r="O510" s="56"/>
    </row>
    <row r="511" spans="1:15" ht="15" customHeight="1" x14ac:dyDescent="0.25">
      <c r="A511" s="26" t="str">
        <f>IF(K511="","",MAX(A$2:A510)+1)</f>
        <v/>
      </c>
      <c r="B511" s="14"/>
      <c r="C511" s="21"/>
      <c r="D511" s="5"/>
      <c r="E511" s="5"/>
      <c r="F511" s="5"/>
      <c r="G511" s="5"/>
      <c r="H511" s="5"/>
      <c r="I511" s="5"/>
      <c r="J511" s="88"/>
      <c r="K511" s="88"/>
      <c r="L511" s="17"/>
      <c r="M511" s="17"/>
      <c r="N511" s="17">
        <f t="shared" si="80"/>
        <v>0</v>
      </c>
      <c r="O511" s="56"/>
    </row>
    <row r="512" spans="1:15" ht="15" customHeight="1" x14ac:dyDescent="0.25">
      <c r="A512" s="26" t="str">
        <f>IF(K512="","",MAX(A$2:A511)+1)</f>
        <v/>
      </c>
      <c r="B512" s="14" t="s">
        <v>25</v>
      </c>
      <c r="C512" s="21" t="s">
        <v>301</v>
      </c>
      <c r="D512" s="5"/>
      <c r="E512" s="5"/>
      <c r="F512" s="23"/>
      <c r="G512" s="5"/>
      <c r="H512" s="5"/>
      <c r="I512" s="5"/>
      <c r="J512" s="88"/>
      <c r="K512" s="88"/>
      <c r="L512" s="17"/>
      <c r="M512" s="17"/>
      <c r="N512" s="17">
        <f t="shared" si="80"/>
        <v>0</v>
      </c>
      <c r="O512" s="56"/>
    </row>
    <row r="513" spans="1:15" ht="15" customHeight="1" x14ac:dyDescent="0.25">
      <c r="A513" s="26">
        <f>IF(K513="","",MAX(A$2:A512)+1)</f>
        <v>115</v>
      </c>
      <c r="B513" s="14"/>
      <c r="C513" s="23" t="s">
        <v>302</v>
      </c>
      <c r="D513" s="5"/>
      <c r="E513" s="5"/>
      <c r="F513" s="5"/>
      <c r="G513" s="5"/>
      <c r="H513" s="5"/>
      <c r="I513" s="5"/>
      <c r="J513" s="88"/>
      <c r="K513" s="88" t="s">
        <v>27</v>
      </c>
      <c r="L513" s="17">
        <v>22</v>
      </c>
      <c r="M513" s="17"/>
      <c r="N513" s="17">
        <f t="shared" si="80"/>
        <v>0</v>
      </c>
      <c r="O513" s="56"/>
    </row>
    <row r="514" spans="1:15" ht="15" customHeight="1" x14ac:dyDescent="0.25">
      <c r="A514" s="26" t="str">
        <f>IF(K514="","",MAX(A$2:A513)+1)</f>
        <v/>
      </c>
      <c r="B514" s="14"/>
      <c r="C514" s="50"/>
      <c r="D514" s="6"/>
      <c r="E514" s="5"/>
      <c r="F514" s="22"/>
      <c r="G514" s="22"/>
      <c r="H514" s="22"/>
      <c r="I514" s="22"/>
      <c r="J514" s="58"/>
      <c r="K514" s="88"/>
      <c r="L514" s="17"/>
      <c r="M514" s="17"/>
      <c r="N514" s="17">
        <f t="shared" si="80"/>
        <v>0</v>
      </c>
      <c r="O514" s="56"/>
    </row>
    <row r="515" spans="1:15" ht="15" customHeight="1" x14ac:dyDescent="0.25">
      <c r="A515" s="26" t="str">
        <f>IF(K515="","",MAX(A$2:A514)+1)</f>
        <v/>
      </c>
      <c r="B515" s="14" t="s">
        <v>26</v>
      </c>
      <c r="C515" s="21" t="s">
        <v>393</v>
      </c>
      <c r="D515" s="5"/>
      <c r="E515" s="5"/>
      <c r="F515" s="5"/>
      <c r="G515" s="5"/>
      <c r="H515" s="5"/>
      <c r="I515" s="5"/>
      <c r="J515" s="88"/>
      <c r="K515" s="88"/>
      <c r="L515" s="17"/>
      <c r="M515" s="17"/>
      <c r="N515" s="17">
        <f t="shared" si="80"/>
        <v>0</v>
      </c>
      <c r="O515" s="56"/>
    </row>
    <row r="516" spans="1:15" ht="15" customHeight="1" x14ac:dyDescent="0.25">
      <c r="A516" s="26">
        <f>IF(K516="","",MAX(A$2:A515)+1)</f>
        <v>116</v>
      </c>
      <c r="B516" s="14"/>
      <c r="C516" s="23" t="s">
        <v>46</v>
      </c>
      <c r="D516" s="22"/>
      <c r="E516" s="22"/>
      <c r="F516" s="22"/>
      <c r="G516" s="22"/>
      <c r="H516" s="25"/>
      <c r="I516" s="25"/>
      <c r="J516" s="58"/>
      <c r="K516" s="88" t="s">
        <v>27</v>
      </c>
      <c r="L516" s="17">
        <v>14</v>
      </c>
      <c r="M516" s="17"/>
      <c r="N516" s="17">
        <f t="shared" si="80"/>
        <v>0</v>
      </c>
      <c r="O516" s="56"/>
    </row>
    <row r="517" spans="1:15" ht="15" customHeight="1" x14ac:dyDescent="0.25">
      <c r="A517" s="26" t="str">
        <f>IF(K517="","",MAX(A$2:A516)+1)</f>
        <v/>
      </c>
      <c r="B517" s="14"/>
      <c r="C517" s="23"/>
      <c r="D517" s="22"/>
      <c r="E517" s="22"/>
      <c r="F517" s="22"/>
      <c r="G517" s="22"/>
      <c r="H517" s="25"/>
      <c r="I517" s="25"/>
      <c r="J517" s="58"/>
      <c r="K517" s="115"/>
      <c r="L517" s="17"/>
      <c r="M517" s="17"/>
      <c r="N517" s="17">
        <f t="shared" si="80"/>
        <v>0</v>
      </c>
      <c r="O517" s="56"/>
    </row>
    <row r="518" spans="1:15" ht="15" customHeight="1" x14ac:dyDescent="0.25">
      <c r="A518" s="26" t="str">
        <f>IF(K518="","",MAX(A$2:A517)+1)</f>
        <v/>
      </c>
      <c r="B518" s="14" t="s">
        <v>376</v>
      </c>
      <c r="C518" s="21" t="s">
        <v>101</v>
      </c>
      <c r="D518" s="5"/>
      <c r="E518" s="6"/>
      <c r="F518" s="5"/>
      <c r="G518" s="5"/>
      <c r="H518" s="5"/>
      <c r="I518" s="5"/>
      <c r="J518" s="88"/>
      <c r="K518" s="88"/>
      <c r="L518" s="17"/>
      <c r="M518" s="17"/>
      <c r="N518" s="17">
        <f t="shared" si="80"/>
        <v>0</v>
      </c>
      <c r="O518" s="56"/>
    </row>
    <row r="519" spans="1:15" ht="21" customHeight="1" x14ac:dyDescent="0.25">
      <c r="A519" s="26" t="str">
        <f>IF(K519="","",MAX(A$2:A518)+1)</f>
        <v/>
      </c>
      <c r="B519" s="14"/>
      <c r="C519" s="231" t="s">
        <v>137</v>
      </c>
      <c r="D519" s="232"/>
      <c r="E519" s="232"/>
      <c r="F519" s="232"/>
      <c r="G519" s="232"/>
      <c r="H519" s="232"/>
      <c r="I519" s="232"/>
      <c r="J519" s="233"/>
      <c r="K519" s="88"/>
      <c r="L519" s="17"/>
      <c r="M519" s="17"/>
      <c r="N519" s="17"/>
      <c r="O519" s="56"/>
    </row>
    <row r="520" spans="1:15" ht="15" customHeight="1" x14ac:dyDescent="0.25">
      <c r="A520" s="26">
        <f>IF(K520="","",MAX(A$2:A519)+1)</f>
        <v>117</v>
      </c>
      <c r="B520" s="14"/>
      <c r="C520" s="43" t="s">
        <v>278</v>
      </c>
      <c r="D520" s="5"/>
      <c r="E520" s="5"/>
      <c r="F520" s="5"/>
      <c r="G520" s="5"/>
      <c r="H520" s="5"/>
      <c r="I520" s="5"/>
      <c r="J520" s="88"/>
      <c r="K520" s="88" t="s">
        <v>27</v>
      </c>
      <c r="L520" s="17">
        <v>7</v>
      </c>
      <c r="M520" s="17"/>
      <c r="N520" s="17">
        <f>+M520*L520</f>
        <v>0</v>
      </c>
      <c r="O520" s="56"/>
    </row>
    <row r="521" spans="1:15" ht="15" customHeight="1" x14ac:dyDescent="0.25">
      <c r="A521" s="26" t="str">
        <f>IF(K521="","",MAX(A$2:A520)+1)</f>
        <v/>
      </c>
      <c r="B521" s="14"/>
      <c r="C521" s="21"/>
      <c r="D521" s="5"/>
      <c r="E521" s="5"/>
      <c r="F521" s="5"/>
      <c r="G521" s="5"/>
      <c r="H521" s="5"/>
      <c r="I521" s="5"/>
      <c r="J521" s="88"/>
      <c r="K521" s="88"/>
      <c r="L521" s="17"/>
      <c r="M521" s="17"/>
      <c r="N521" s="17">
        <f t="shared" ref="N521:N522" si="81">+M521*L521</f>
        <v>0</v>
      </c>
      <c r="O521" s="56"/>
    </row>
    <row r="522" spans="1:15" ht="15" customHeight="1" x14ac:dyDescent="0.25">
      <c r="A522" s="26" t="str">
        <f>IF(K522="","",MAX(A$2:A521)+1)</f>
        <v/>
      </c>
      <c r="B522" s="14" t="s">
        <v>407</v>
      </c>
      <c r="C522" s="21" t="s">
        <v>47</v>
      </c>
      <c r="D522" s="5"/>
      <c r="E522" s="5"/>
      <c r="F522" s="5"/>
      <c r="G522" s="5"/>
      <c r="H522" s="5"/>
      <c r="I522" s="5"/>
      <c r="J522" s="88"/>
      <c r="K522" s="88"/>
      <c r="L522" s="17"/>
      <c r="M522" s="17"/>
      <c r="N522" s="17">
        <f t="shared" si="81"/>
        <v>0</v>
      </c>
      <c r="O522" s="56"/>
    </row>
    <row r="523" spans="1:15" ht="15" customHeight="1" x14ac:dyDescent="0.25">
      <c r="A523" s="26" t="str">
        <f>IF(K523="","",MAX(A$2:A522)+1)</f>
        <v/>
      </c>
      <c r="B523" s="14"/>
      <c r="C523" s="23" t="s">
        <v>166</v>
      </c>
      <c r="D523" s="5"/>
      <c r="E523" s="5"/>
      <c r="F523" s="5"/>
      <c r="G523" s="5"/>
      <c r="H523" s="125"/>
      <c r="I523" s="125"/>
      <c r="J523" s="88"/>
      <c r="K523" s="88"/>
      <c r="L523" s="17"/>
      <c r="M523" s="17"/>
      <c r="N523" s="17"/>
      <c r="O523" s="124"/>
    </row>
    <row r="524" spans="1:15" ht="23.45" customHeight="1" collapsed="1" x14ac:dyDescent="0.25">
      <c r="A524" s="26">
        <f>IF(K524="","",MAX(A$2:A523)+1)</f>
        <v>118</v>
      </c>
      <c r="B524" s="14"/>
      <c r="C524" s="240" t="s">
        <v>323</v>
      </c>
      <c r="D524" s="241"/>
      <c r="E524" s="241"/>
      <c r="F524" s="241"/>
      <c r="G524" s="241"/>
      <c r="H524" s="241"/>
      <c r="I524" s="241"/>
      <c r="J524" s="242"/>
      <c r="K524" s="88" t="s">
        <v>27</v>
      </c>
      <c r="L524" s="17">
        <f>ROUNDUP(I528,)</f>
        <v>9</v>
      </c>
      <c r="M524" s="17"/>
      <c r="N524" s="17">
        <f>M524*L524</f>
        <v>0</v>
      </c>
      <c r="O524" s="56"/>
    </row>
    <row r="525" spans="1:15" s="119" customFormat="1" ht="13.15" hidden="1" customHeight="1" outlineLevel="1" x14ac:dyDescent="0.25">
      <c r="A525" s="26" t="str">
        <f>IF(K525="","",MAX(A$2:A524)+1)</f>
        <v/>
      </c>
      <c r="B525" s="205"/>
      <c r="C525" s="116" t="s">
        <v>326</v>
      </c>
      <c r="D525" s="195"/>
      <c r="E525" s="195"/>
      <c r="F525" s="195"/>
      <c r="G525" s="195"/>
      <c r="H525" s="117" t="s">
        <v>12</v>
      </c>
      <c r="I525" s="63">
        <v>1.7</v>
      </c>
      <c r="J525" s="196"/>
      <c r="K525" s="150"/>
      <c r="L525" s="118"/>
      <c r="M525" s="118"/>
      <c r="N525" s="118">
        <f t="shared" ref="N525:N530" si="82">M525*L525</f>
        <v>0</v>
      </c>
      <c r="O525" s="151"/>
    </row>
    <row r="526" spans="1:15" s="119" customFormat="1" ht="13.15" hidden="1" customHeight="1" outlineLevel="1" x14ac:dyDescent="0.25">
      <c r="A526" s="26" t="str">
        <f>IF(K526="","",MAX(A$2:A525)+1)</f>
        <v/>
      </c>
      <c r="B526" s="205"/>
      <c r="C526" s="116" t="s">
        <v>327</v>
      </c>
      <c r="D526" s="195"/>
      <c r="E526" s="195"/>
      <c r="F526" s="195"/>
      <c r="G526" s="195"/>
      <c r="H526" s="117" t="s">
        <v>12</v>
      </c>
      <c r="I526" s="63">
        <v>6</v>
      </c>
      <c r="J526" s="196"/>
      <c r="K526" s="150"/>
      <c r="L526" s="118"/>
      <c r="M526" s="118"/>
      <c r="N526" s="118">
        <f t="shared" si="82"/>
        <v>0</v>
      </c>
      <c r="O526" s="151"/>
    </row>
    <row r="527" spans="1:15" s="119" customFormat="1" ht="13.15" hidden="1" customHeight="1" outlineLevel="1" x14ac:dyDescent="0.25">
      <c r="A527" s="26" t="str">
        <f>IF(K527="","",MAX(A$2:A526)+1)</f>
        <v/>
      </c>
      <c r="B527" s="205"/>
      <c r="C527" s="152" t="s">
        <v>330</v>
      </c>
      <c r="D527" s="195"/>
      <c r="E527" s="195"/>
      <c r="F527" s="195"/>
      <c r="G527" s="195"/>
      <c r="H527" s="117" t="s">
        <v>12</v>
      </c>
      <c r="I527" s="63">
        <v>0.7</v>
      </c>
      <c r="J527" s="196"/>
      <c r="K527" s="150"/>
      <c r="L527" s="118"/>
      <c r="M527" s="118"/>
      <c r="N527" s="118"/>
      <c r="O527" s="151"/>
    </row>
    <row r="528" spans="1:15" s="119" customFormat="1" ht="13.15" hidden="1" customHeight="1" outlineLevel="1" x14ac:dyDescent="0.25">
      <c r="A528" s="26" t="str">
        <f>IF(K528="","",MAX(A$2:A527)+1)</f>
        <v/>
      </c>
      <c r="B528" s="205"/>
      <c r="C528" s="195"/>
      <c r="D528" s="195"/>
      <c r="E528" s="195"/>
      <c r="F528" s="195"/>
      <c r="G528" s="195"/>
      <c r="H528" s="195"/>
      <c r="I528" s="171">
        <f>SUM(I525:I527)</f>
        <v>8.4</v>
      </c>
      <c r="J528" s="196"/>
      <c r="K528" s="150"/>
      <c r="L528" s="118"/>
      <c r="M528" s="118"/>
      <c r="N528" s="118">
        <f t="shared" si="82"/>
        <v>0</v>
      </c>
      <c r="O528" s="151"/>
    </row>
    <row r="529" spans="1:20" ht="15" customHeight="1" collapsed="1" x14ac:dyDescent="0.25">
      <c r="A529" s="26">
        <f>IF(K529="","",MAX(A$2:A528)+1)</f>
        <v>119</v>
      </c>
      <c r="B529" s="14"/>
      <c r="C529" s="43" t="s">
        <v>322</v>
      </c>
      <c r="D529" s="5"/>
      <c r="E529" s="5"/>
      <c r="F529" s="5"/>
      <c r="G529" s="5"/>
      <c r="H529" s="125"/>
      <c r="I529" s="125"/>
      <c r="J529" s="88"/>
      <c r="K529" s="88" t="s">
        <v>27</v>
      </c>
      <c r="L529" s="17">
        <f>ROUNDUP(I533,)</f>
        <v>8</v>
      </c>
      <c r="M529" s="17"/>
      <c r="N529" s="17">
        <f t="shared" si="82"/>
        <v>0</v>
      </c>
      <c r="O529" s="56"/>
    </row>
    <row r="530" spans="1:20" s="119" customFormat="1" ht="13.15" hidden="1" customHeight="1" outlineLevel="1" x14ac:dyDescent="0.25">
      <c r="A530" s="26" t="str">
        <f>IF(K530="","",MAX(A$2:A529)+1)</f>
        <v/>
      </c>
      <c r="B530" s="205"/>
      <c r="C530" s="116" t="s">
        <v>328</v>
      </c>
      <c r="D530" s="195"/>
      <c r="E530" s="195"/>
      <c r="F530" s="195"/>
      <c r="G530" s="195"/>
      <c r="H530" s="117" t="s">
        <v>12</v>
      </c>
      <c r="I530" s="63">
        <v>1.6</v>
      </c>
      <c r="J530" s="196"/>
      <c r="K530" s="150"/>
      <c r="L530" s="118"/>
      <c r="M530" s="118"/>
      <c r="N530" s="118">
        <f t="shared" si="82"/>
        <v>0</v>
      </c>
      <c r="O530" s="151"/>
    </row>
    <row r="531" spans="1:20" s="119" customFormat="1" ht="13.15" hidden="1" customHeight="1" outlineLevel="1" x14ac:dyDescent="0.25">
      <c r="A531" s="26" t="str">
        <f>IF(K531="","",MAX(A$2:A530)+1)</f>
        <v/>
      </c>
      <c r="B531" s="205"/>
      <c r="C531" s="116" t="s">
        <v>329</v>
      </c>
      <c r="D531" s="195"/>
      <c r="E531" s="195"/>
      <c r="F531" s="195"/>
      <c r="G531" s="195"/>
      <c r="H531" s="117" t="s">
        <v>12</v>
      </c>
      <c r="I531" s="63">
        <v>4</v>
      </c>
      <c r="J531" s="196"/>
      <c r="K531" s="150"/>
      <c r="L531" s="118"/>
      <c r="M531" s="118"/>
      <c r="N531" s="118"/>
      <c r="O531" s="151"/>
    </row>
    <row r="532" spans="1:20" s="119" customFormat="1" ht="13.15" hidden="1" customHeight="1" outlineLevel="1" x14ac:dyDescent="0.25">
      <c r="A532" s="26" t="str">
        <f>IF(K532="","",MAX(A$2:A531)+1)</f>
        <v/>
      </c>
      <c r="B532" s="205"/>
      <c r="C532" s="116" t="s">
        <v>326</v>
      </c>
      <c r="D532" s="195"/>
      <c r="E532" s="195"/>
      <c r="F532" s="195"/>
      <c r="G532" s="195"/>
      <c r="H532" s="117" t="s">
        <v>12</v>
      </c>
      <c r="I532" s="63">
        <v>2.2000000000000002</v>
      </c>
      <c r="J532" s="196"/>
      <c r="K532" s="150"/>
      <c r="L532" s="118"/>
      <c r="M532" s="118"/>
      <c r="N532" s="118"/>
      <c r="O532" s="151"/>
    </row>
    <row r="533" spans="1:20" s="119" customFormat="1" ht="13.15" hidden="1" customHeight="1" outlineLevel="1" x14ac:dyDescent="0.25">
      <c r="A533" s="26" t="str">
        <f>IF(K533="","",MAX(A$2:A532)+1)</f>
        <v/>
      </c>
      <c r="B533" s="205"/>
      <c r="C533" s="195"/>
      <c r="D533" s="195"/>
      <c r="E533" s="195"/>
      <c r="F533" s="195"/>
      <c r="G533" s="195"/>
      <c r="H533" s="195"/>
      <c r="I533" s="171">
        <f>SUM(I530:I532)</f>
        <v>7.8</v>
      </c>
      <c r="J533" s="196"/>
      <c r="K533" s="150"/>
      <c r="L533" s="118"/>
      <c r="M533" s="118"/>
      <c r="N533" s="118"/>
      <c r="O533" s="151"/>
    </row>
    <row r="534" spans="1:20" ht="15" customHeight="1" x14ac:dyDescent="0.25">
      <c r="A534" s="26" t="str">
        <f>IF(K534="","",MAX(A$2:A533)+1)</f>
        <v/>
      </c>
      <c r="B534" s="14"/>
      <c r="C534" s="21"/>
      <c r="D534" s="5"/>
      <c r="E534" s="5"/>
      <c r="F534" s="5"/>
      <c r="G534" s="5"/>
      <c r="H534" s="5"/>
      <c r="I534" s="5"/>
      <c r="J534" s="88"/>
      <c r="K534" s="88"/>
      <c r="L534" s="17"/>
      <c r="M534" s="17"/>
      <c r="N534" s="17">
        <f t="shared" ref="N534:N541" si="83">+M534*L534</f>
        <v>0</v>
      </c>
      <c r="O534" s="56"/>
    </row>
    <row r="535" spans="1:20" ht="15" customHeight="1" x14ac:dyDescent="0.25">
      <c r="A535" s="26" t="str">
        <f>IF(K535="","",MAX(A$2:A534)+1)</f>
        <v/>
      </c>
      <c r="B535" s="14" t="s">
        <v>377</v>
      </c>
      <c r="C535" s="21" t="s">
        <v>61</v>
      </c>
      <c r="D535" s="5"/>
      <c r="E535" s="5"/>
      <c r="F535" s="5"/>
      <c r="G535" s="5"/>
      <c r="H535" s="5"/>
      <c r="I535" s="5"/>
      <c r="J535" s="88"/>
      <c r="K535" s="88"/>
      <c r="L535" s="17"/>
      <c r="M535" s="17"/>
      <c r="N535" s="17">
        <f t="shared" si="83"/>
        <v>0</v>
      </c>
      <c r="O535" s="56"/>
    </row>
    <row r="536" spans="1:20" ht="15" customHeight="1" collapsed="1" x14ac:dyDescent="0.25">
      <c r="A536" s="26">
        <f>IF(K536="","",MAX(A$2:A535)+1)</f>
        <v>120</v>
      </c>
      <c r="B536" s="14"/>
      <c r="C536" s="23" t="s">
        <v>166</v>
      </c>
      <c r="D536" s="5"/>
      <c r="E536" s="5"/>
      <c r="F536" s="5"/>
      <c r="G536" s="5"/>
      <c r="H536" s="5"/>
      <c r="I536" s="5"/>
      <c r="J536" s="88"/>
      <c r="K536" s="88" t="s">
        <v>27</v>
      </c>
      <c r="L536" s="17">
        <f>ROUNDUP(I540,)</f>
        <v>26</v>
      </c>
      <c r="M536" s="17"/>
      <c r="N536" s="17">
        <f>+M536*L536</f>
        <v>0</v>
      </c>
      <c r="O536" s="56"/>
    </row>
    <row r="537" spans="1:20" s="119" customFormat="1" ht="13.15" hidden="1" customHeight="1" outlineLevel="1" x14ac:dyDescent="0.25">
      <c r="A537" s="26" t="str">
        <f>IF(K537="","",MAX(A$2:A536)+1)</f>
        <v/>
      </c>
      <c r="B537" s="205"/>
      <c r="C537" s="116" t="s">
        <v>336</v>
      </c>
      <c r="D537" s="195"/>
      <c r="E537" s="195"/>
      <c r="F537" s="195"/>
      <c r="G537" s="195"/>
      <c r="H537" s="117" t="s">
        <v>12</v>
      </c>
      <c r="I537" s="63">
        <v>20</v>
      </c>
      <c r="J537" s="196"/>
      <c r="K537" s="150"/>
      <c r="L537" s="118"/>
      <c r="M537" s="118"/>
      <c r="N537" s="118">
        <f t="shared" ref="N537" si="84">M537*L537</f>
        <v>0</v>
      </c>
      <c r="O537" s="151"/>
    </row>
    <row r="538" spans="1:20" s="119" customFormat="1" ht="13.15" hidden="1" customHeight="1" outlineLevel="1" x14ac:dyDescent="0.25">
      <c r="A538" s="26" t="str">
        <f>IF(K538="","",MAX(A$2:A537)+1)</f>
        <v/>
      </c>
      <c r="B538" s="205"/>
      <c r="C538" s="116" t="s">
        <v>337</v>
      </c>
      <c r="D538" s="195"/>
      <c r="E538" s="195"/>
      <c r="F538" s="195"/>
      <c r="G538" s="195"/>
      <c r="H538" s="117" t="s">
        <v>12</v>
      </c>
      <c r="I538" s="63">
        <v>1.1499999999999999</v>
      </c>
      <c r="J538" s="196"/>
      <c r="K538" s="150"/>
      <c r="L538" s="118"/>
      <c r="M538" s="118"/>
      <c r="N538" s="118"/>
      <c r="O538" s="151"/>
    </row>
    <row r="539" spans="1:20" s="119" customFormat="1" ht="13.15" hidden="1" customHeight="1" outlineLevel="1" x14ac:dyDescent="0.25">
      <c r="A539" s="26" t="str">
        <f>IF(K539="","",MAX(A$2:A538)+1)</f>
        <v/>
      </c>
      <c r="B539" s="205"/>
      <c r="C539" s="116" t="s">
        <v>338</v>
      </c>
      <c r="D539" s="195"/>
      <c r="E539" s="195"/>
      <c r="F539" s="195"/>
      <c r="G539" s="195"/>
      <c r="H539" s="117" t="s">
        <v>12</v>
      </c>
      <c r="I539" s="63">
        <v>4</v>
      </c>
      <c r="J539" s="196"/>
      <c r="K539" s="150"/>
      <c r="L539" s="118"/>
      <c r="M539" s="118"/>
      <c r="N539" s="118"/>
      <c r="O539" s="151"/>
    </row>
    <row r="540" spans="1:20" s="119" customFormat="1" ht="13.15" hidden="1" customHeight="1" outlineLevel="1" x14ac:dyDescent="0.25">
      <c r="A540" s="26" t="str">
        <f>IF(K540="","",MAX(A$2:A539)+1)</f>
        <v/>
      </c>
      <c r="B540" s="205"/>
      <c r="C540" s="195"/>
      <c r="D540" s="195"/>
      <c r="E540" s="195"/>
      <c r="F540" s="195"/>
      <c r="G540" s="195"/>
      <c r="H540" s="195"/>
      <c r="I540" s="171">
        <f>SUM(I537:I539)</f>
        <v>25.15</v>
      </c>
      <c r="J540" s="196"/>
      <c r="K540" s="150"/>
      <c r="L540" s="118"/>
      <c r="M540" s="118"/>
      <c r="N540" s="118"/>
      <c r="O540" s="151"/>
    </row>
    <row r="541" spans="1:20" ht="15" customHeight="1" x14ac:dyDescent="0.25">
      <c r="A541" s="26" t="str">
        <f>IF(K541="","",MAX(A$2:A540)+1)</f>
        <v/>
      </c>
      <c r="B541" s="14"/>
      <c r="C541" s="21"/>
      <c r="D541" s="5"/>
      <c r="E541" s="5"/>
      <c r="F541" s="5"/>
      <c r="G541" s="5"/>
      <c r="H541" s="5"/>
      <c r="I541" s="5"/>
      <c r="J541" s="88"/>
      <c r="K541" s="88"/>
      <c r="L541" s="17"/>
      <c r="M541" s="17"/>
      <c r="N541" s="17">
        <f t="shared" si="83"/>
        <v>0</v>
      </c>
      <c r="O541" s="56"/>
    </row>
    <row r="542" spans="1:20" ht="15" customHeight="1" x14ac:dyDescent="0.25">
      <c r="A542" s="26" t="str">
        <f>IF(K542="","",MAX(A$2:A541)+1)</f>
        <v/>
      </c>
      <c r="B542" s="14" t="s">
        <v>378</v>
      </c>
      <c r="C542" s="21" t="s">
        <v>344</v>
      </c>
      <c r="D542" s="5"/>
      <c r="E542" s="5"/>
      <c r="F542" s="5"/>
      <c r="G542" s="5"/>
      <c r="H542" s="5"/>
      <c r="I542" s="5"/>
      <c r="J542" s="88"/>
      <c r="K542" s="88"/>
      <c r="L542" s="17"/>
      <c r="M542" s="17"/>
      <c r="N542" s="17">
        <f>+M542*L542</f>
        <v>0</v>
      </c>
    </row>
    <row r="543" spans="1:20" ht="15" customHeight="1" x14ac:dyDescent="0.25">
      <c r="A543" s="26" t="str">
        <f>IF(K543="","",MAX(A$2:A542)+1)</f>
        <v/>
      </c>
      <c r="B543" s="14"/>
      <c r="C543" s="84" t="s">
        <v>52</v>
      </c>
      <c r="D543" s="48"/>
      <c r="E543" s="48"/>
      <c r="F543" s="48"/>
      <c r="G543" s="48"/>
      <c r="H543" s="48"/>
      <c r="I543" s="48"/>
      <c r="J543" s="111"/>
      <c r="K543" s="88"/>
      <c r="L543" s="17"/>
      <c r="M543" s="17"/>
      <c r="N543" s="17">
        <f>+M543*L543</f>
        <v>0</v>
      </c>
    </row>
    <row r="544" spans="1:20" ht="15" customHeight="1" collapsed="1" x14ac:dyDescent="0.25">
      <c r="A544" s="26">
        <f>IF(K544="","",MAX(A$2:A543)+1)</f>
        <v>121</v>
      </c>
      <c r="B544" s="14"/>
      <c r="C544" s="43" t="s">
        <v>50</v>
      </c>
      <c r="D544" s="5"/>
      <c r="E544" s="5"/>
      <c r="F544" s="5"/>
      <c r="G544" s="5"/>
      <c r="H544" s="5"/>
      <c r="I544" s="5"/>
      <c r="J544" s="88"/>
      <c r="K544" s="88" t="s">
        <v>15</v>
      </c>
      <c r="L544" s="54">
        <f>I554</f>
        <v>9</v>
      </c>
      <c r="M544" s="17"/>
      <c r="N544" s="17">
        <f>+M544*L544</f>
        <v>0</v>
      </c>
      <c r="P544" s="41"/>
      <c r="Q544" s="5"/>
      <c r="R544" s="5"/>
      <c r="S544" s="5"/>
      <c r="T544" s="41"/>
    </row>
    <row r="545" spans="1:20" s="119" customFormat="1" ht="13.15" hidden="1" customHeight="1" outlineLevel="1" x14ac:dyDescent="0.25">
      <c r="A545" s="26" t="str">
        <f>IF(K545="","",MAX(A$2:A544)+1)</f>
        <v/>
      </c>
      <c r="B545" s="205"/>
      <c r="C545" s="152" t="s">
        <v>232</v>
      </c>
      <c r="D545" s="149"/>
      <c r="E545" s="149"/>
      <c r="F545" s="149"/>
      <c r="G545" s="149"/>
      <c r="H545" s="149" t="s">
        <v>12</v>
      </c>
      <c r="I545" s="149">
        <v>1</v>
      </c>
      <c r="J545" s="150"/>
      <c r="K545" s="150"/>
      <c r="L545" s="175"/>
      <c r="M545" s="118"/>
      <c r="N545" s="118"/>
      <c r="O545" s="151"/>
    </row>
    <row r="546" spans="1:20" s="119" customFormat="1" ht="13.15" hidden="1" customHeight="1" outlineLevel="1" x14ac:dyDescent="0.25">
      <c r="A546" s="26" t="str">
        <f>IF(K546="","",MAX(A$2:A545)+1)</f>
        <v/>
      </c>
      <c r="B546" s="205"/>
      <c r="C546" s="152" t="s">
        <v>233</v>
      </c>
      <c r="D546" s="149"/>
      <c r="E546" s="149"/>
      <c r="F546" s="149"/>
      <c r="G546" s="149"/>
      <c r="H546" s="149" t="s">
        <v>12</v>
      </c>
      <c r="I546" s="149">
        <v>1</v>
      </c>
      <c r="J546" s="150"/>
      <c r="K546" s="150"/>
      <c r="L546" s="175"/>
      <c r="M546" s="118"/>
      <c r="N546" s="118"/>
      <c r="O546" s="151"/>
    </row>
    <row r="547" spans="1:20" s="119" customFormat="1" ht="13.15" hidden="1" customHeight="1" outlineLevel="1" x14ac:dyDescent="0.25">
      <c r="A547" s="26" t="str">
        <f>IF(K547="","",MAX(A$2:A546)+1)</f>
        <v/>
      </c>
      <c r="B547" s="205"/>
      <c r="C547" s="152" t="s">
        <v>234</v>
      </c>
      <c r="D547" s="149"/>
      <c r="E547" s="149"/>
      <c r="F547" s="149"/>
      <c r="G547" s="149"/>
      <c r="H547" s="149" t="s">
        <v>12</v>
      </c>
      <c r="I547" s="149">
        <v>1</v>
      </c>
      <c r="J547" s="150"/>
      <c r="K547" s="150"/>
      <c r="L547" s="175"/>
      <c r="M547" s="118"/>
      <c r="N547" s="118"/>
      <c r="O547" s="151"/>
    </row>
    <row r="548" spans="1:20" s="119" customFormat="1" ht="13.15" hidden="1" customHeight="1" outlineLevel="1" x14ac:dyDescent="0.25">
      <c r="A548" s="26" t="str">
        <f>IF(K548="","",MAX(A$2:A547)+1)</f>
        <v/>
      </c>
      <c r="B548" s="205"/>
      <c r="C548" s="152" t="s">
        <v>235</v>
      </c>
      <c r="D548" s="149"/>
      <c r="E548" s="149"/>
      <c r="F548" s="149"/>
      <c r="G548" s="149"/>
      <c r="H548" s="149" t="s">
        <v>12</v>
      </c>
      <c r="I548" s="149">
        <v>1</v>
      </c>
      <c r="J548" s="150"/>
      <c r="K548" s="150"/>
      <c r="L548" s="175"/>
      <c r="M548" s="118"/>
      <c r="N548" s="118"/>
      <c r="O548" s="151"/>
    </row>
    <row r="549" spans="1:20" s="119" customFormat="1" ht="13.15" hidden="1" customHeight="1" outlineLevel="1" x14ac:dyDescent="0.25">
      <c r="A549" s="26" t="str">
        <f>IF(K549="","",MAX(A$2:A548)+1)</f>
        <v/>
      </c>
      <c r="B549" s="205"/>
      <c r="C549" s="152" t="s">
        <v>236</v>
      </c>
      <c r="D549" s="149"/>
      <c r="E549" s="149"/>
      <c r="F549" s="149"/>
      <c r="G549" s="149"/>
      <c r="H549" s="149" t="s">
        <v>12</v>
      </c>
      <c r="I549" s="149">
        <v>1</v>
      </c>
      <c r="J549" s="150"/>
      <c r="K549" s="150"/>
      <c r="L549" s="175"/>
      <c r="M549" s="118"/>
      <c r="N549" s="118"/>
      <c r="O549" s="151"/>
    </row>
    <row r="550" spans="1:20" s="119" customFormat="1" ht="13.15" hidden="1" customHeight="1" outlineLevel="1" x14ac:dyDescent="0.25">
      <c r="A550" s="26" t="str">
        <f>IF(K550="","",MAX(A$2:A549)+1)</f>
        <v/>
      </c>
      <c r="B550" s="205"/>
      <c r="C550" s="152" t="s">
        <v>237</v>
      </c>
      <c r="D550" s="149"/>
      <c r="E550" s="149"/>
      <c r="F550" s="149"/>
      <c r="G550" s="149"/>
      <c r="H550" s="149" t="s">
        <v>12</v>
      </c>
      <c r="I550" s="149">
        <v>1</v>
      </c>
      <c r="J550" s="150"/>
      <c r="K550" s="150"/>
      <c r="L550" s="175"/>
      <c r="M550" s="118"/>
      <c r="N550" s="118"/>
      <c r="O550" s="151"/>
    </row>
    <row r="551" spans="1:20" s="119" customFormat="1" ht="13.15" hidden="1" customHeight="1" outlineLevel="1" x14ac:dyDescent="0.25">
      <c r="A551" s="26" t="str">
        <f>IF(K551="","",MAX(A$2:A550)+1)</f>
        <v/>
      </c>
      <c r="B551" s="205"/>
      <c r="C551" s="152" t="s">
        <v>238</v>
      </c>
      <c r="D551" s="149"/>
      <c r="E551" s="149"/>
      <c r="F551" s="149"/>
      <c r="G551" s="149"/>
      <c r="H551" s="149" t="s">
        <v>12</v>
      </c>
      <c r="I551" s="149">
        <v>1</v>
      </c>
      <c r="J551" s="150"/>
      <c r="K551" s="150"/>
      <c r="L551" s="175"/>
      <c r="M551" s="118"/>
      <c r="N551" s="118"/>
      <c r="O551" s="151"/>
    </row>
    <row r="552" spans="1:20" s="119" customFormat="1" ht="13.15" hidden="1" customHeight="1" outlineLevel="1" x14ac:dyDescent="0.25">
      <c r="A552" s="26" t="str">
        <f>IF(K552="","",MAX(A$2:A551)+1)</f>
        <v/>
      </c>
      <c r="B552" s="205"/>
      <c r="C552" s="152" t="s">
        <v>239</v>
      </c>
      <c r="D552" s="149"/>
      <c r="E552" s="149"/>
      <c r="F552" s="149"/>
      <c r="G552" s="149"/>
      <c r="H552" s="149" t="s">
        <v>12</v>
      </c>
      <c r="I552" s="149">
        <v>1</v>
      </c>
      <c r="J552" s="150"/>
      <c r="K552" s="150"/>
      <c r="L552" s="175"/>
      <c r="M552" s="118"/>
      <c r="N552" s="118"/>
      <c r="O552" s="151"/>
    </row>
    <row r="553" spans="1:20" s="119" customFormat="1" ht="13.15" hidden="1" customHeight="1" outlineLevel="1" x14ac:dyDescent="0.25">
      <c r="A553" s="26" t="str">
        <f>IF(K553="","",MAX(A$2:A552)+1)</f>
        <v/>
      </c>
      <c r="B553" s="205"/>
      <c r="C553" s="152" t="s">
        <v>240</v>
      </c>
      <c r="D553" s="149"/>
      <c r="E553" s="149"/>
      <c r="F553" s="149"/>
      <c r="G553" s="149"/>
      <c r="H553" s="149" t="s">
        <v>12</v>
      </c>
      <c r="I553" s="149">
        <v>1</v>
      </c>
      <c r="J553" s="150"/>
      <c r="K553" s="150"/>
      <c r="L553" s="175"/>
      <c r="M553" s="118"/>
      <c r="N553" s="118"/>
      <c r="O553" s="151"/>
    </row>
    <row r="554" spans="1:20" s="119" customFormat="1" ht="13.15" hidden="1" customHeight="1" outlineLevel="1" x14ac:dyDescent="0.25">
      <c r="A554" s="26" t="str">
        <f>IF(K554="","",MAX(A$2:A553)+1)</f>
        <v/>
      </c>
      <c r="B554" s="205"/>
      <c r="C554" s="152"/>
      <c r="D554" s="149"/>
      <c r="E554" s="149"/>
      <c r="F554" s="149"/>
      <c r="G554" s="149"/>
      <c r="H554" s="149"/>
      <c r="I554" s="204">
        <f>SUM(I545:I553)</f>
        <v>9</v>
      </c>
      <c r="J554" s="150"/>
      <c r="K554" s="150"/>
      <c r="L554" s="175"/>
      <c r="M554" s="118"/>
      <c r="N554" s="118"/>
      <c r="O554" s="151"/>
    </row>
    <row r="555" spans="1:20" ht="15" customHeight="1" collapsed="1" x14ac:dyDescent="0.25">
      <c r="A555" s="26">
        <f>IF(K555="","",MAX(A$2:A554)+1)</f>
        <v>122</v>
      </c>
      <c r="B555" s="14"/>
      <c r="C555" s="43" t="s">
        <v>53</v>
      </c>
      <c r="D555" s="5"/>
      <c r="E555" s="5"/>
      <c r="F555" s="5"/>
      <c r="G555" s="5"/>
      <c r="H555" s="5"/>
      <c r="I555" s="5"/>
      <c r="J555" s="88"/>
      <c r="K555" s="88" t="s">
        <v>15</v>
      </c>
      <c r="L555" s="54">
        <f>I565</f>
        <v>9</v>
      </c>
      <c r="M555" s="17"/>
      <c r="N555" s="17">
        <f>+M555*L555</f>
        <v>0</v>
      </c>
      <c r="O555" s="56"/>
      <c r="P555" s="41"/>
      <c r="Q555" s="5"/>
      <c r="R555" s="5"/>
      <c r="S555" s="5"/>
      <c r="T555" s="41"/>
    </row>
    <row r="556" spans="1:20" s="119" customFormat="1" ht="13.15" hidden="1" customHeight="1" outlineLevel="1" x14ac:dyDescent="0.25">
      <c r="A556" s="26" t="str">
        <f>IF(K556="","",MAX(A$2:A555)+1)</f>
        <v/>
      </c>
      <c r="B556" s="205"/>
      <c r="C556" s="152" t="s">
        <v>232</v>
      </c>
      <c r="D556" s="149"/>
      <c r="E556" s="149"/>
      <c r="F556" s="149"/>
      <c r="G556" s="149"/>
      <c r="H556" s="149" t="s">
        <v>12</v>
      </c>
      <c r="I556" s="149">
        <v>1</v>
      </c>
      <c r="J556" s="150"/>
      <c r="K556" s="150"/>
      <c r="L556" s="175"/>
      <c r="M556" s="118"/>
      <c r="N556" s="118"/>
      <c r="O556" s="151"/>
    </row>
    <row r="557" spans="1:20" s="119" customFormat="1" ht="13.15" hidden="1" customHeight="1" outlineLevel="1" x14ac:dyDescent="0.25">
      <c r="A557" s="26" t="str">
        <f>IF(K557="","",MAX(A$2:A556)+1)</f>
        <v/>
      </c>
      <c r="B557" s="205"/>
      <c r="C557" s="152" t="s">
        <v>233</v>
      </c>
      <c r="D557" s="149"/>
      <c r="E557" s="149"/>
      <c r="F557" s="149"/>
      <c r="G557" s="149"/>
      <c r="H557" s="149" t="s">
        <v>12</v>
      </c>
      <c r="I557" s="149">
        <v>1</v>
      </c>
      <c r="J557" s="150"/>
      <c r="K557" s="150"/>
      <c r="L557" s="175"/>
      <c r="M557" s="118"/>
      <c r="N557" s="118"/>
      <c r="O557" s="151"/>
    </row>
    <row r="558" spans="1:20" s="119" customFormat="1" ht="13.15" hidden="1" customHeight="1" outlineLevel="1" x14ac:dyDescent="0.25">
      <c r="A558" s="26" t="str">
        <f>IF(K558="","",MAX(A$2:A557)+1)</f>
        <v/>
      </c>
      <c r="B558" s="205"/>
      <c r="C558" s="152" t="s">
        <v>234</v>
      </c>
      <c r="D558" s="149"/>
      <c r="E558" s="149"/>
      <c r="F558" s="149"/>
      <c r="G558" s="149"/>
      <c r="H558" s="149" t="s">
        <v>12</v>
      </c>
      <c r="I558" s="149">
        <v>1</v>
      </c>
      <c r="J558" s="150"/>
      <c r="K558" s="150"/>
      <c r="L558" s="175"/>
      <c r="M558" s="118"/>
      <c r="N558" s="118"/>
      <c r="O558" s="151"/>
    </row>
    <row r="559" spans="1:20" s="119" customFormat="1" ht="13.15" hidden="1" customHeight="1" outlineLevel="1" x14ac:dyDescent="0.25">
      <c r="A559" s="26" t="str">
        <f>IF(K559="","",MAX(A$2:A558)+1)</f>
        <v/>
      </c>
      <c r="B559" s="205"/>
      <c r="C559" s="152" t="s">
        <v>235</v>
      </c>
      <c r="D559" s="149"/>
      <c r="E559" s="149"/>
      <c r="F559" s="149"/>
      <c r="G559" s="149"/>
      <c r="H559" s="149" t="s">
        <v>12</v>
      </c>
      <c r="I559" s="149">
        <v>1</v>
      </c>
      <c r="J559" s="150"/>
      <c r="K559" s="150"/>
      <c r="L559" s="175"/>
      <c r="M559" s="118"/>
      <c r="N559" s="118"/>
      <c r="O559" s="151"/>
    </row>
    <row r="560" spans="1:20" s="119" customFormat="1" ht="13.15" hidden="1" customHeight="1" outlineLevel="1" x14ac:dyDescent="0.25">
      <c r="A560" s="26" t="str">
        <f>IF(K560="","",MAX(A$2:A559)+1)</f>
        <v/>
      </c>
      <c r="B560" s="205"/>
      <c r="C560" s="152" t="s">
        <v>236</v>
      </c>
      <c r="D560" s="149"/>
      <c r="E560" s="149"/>
      <c r="F560" s="149"/>
      <c r="G560" s="149"/>
      <c r="H560" s="149" t="s">
        <v>12</v>
      </c>
      <c r="I560" s="149">
        <v>1</v>
      </c>
      <c r="J560" s="150"/>
      <c r="K560" s="150"/>
      <c r="L560" s="175"/>
      <c r="M560" s="118"/>
      <c r="N560" s="118"/>
      <c r="O560" s="151"/>
    </row>
    <row r="561" spans="1:20" s="119" customFormat="1" ht="13.15" hidden="1" customHeight="1" outlineLevel="1" x14ac:dyDescent="0.25">
      <c r="A561" s="26" t="str">
        <f>IF(K561="","",MAX(A$2:A560)+1)</f>
        <v/>
      </c>
      <c r="B561" s="205"/>
      <c r="C561" s="152" t="s">
        <v>237</v>
      </c>
      <c r="D561" s="149"/>
      <c r="E561" s="149"/>
      <c r="F561" s="149"/>
      <c r="G561" s="149"/>
      <c r="H561" s="149" t="s">
        <v>12</v>
      </c>
      <c r="I561" s="149">
        <v>1</v>
      </c>
      <c r="J561" s="150"/>
      <c r="K561" s="150"/>
      <c r="L561" s="175"/>
      <c r="M561" s="118"/>
      <c r="N561" s="118"/>
      <c r="O561" s="151"/>
    </row>
    <row r="562" spans="1:20" s="119" customFormat="1" ht="13.15" hidden="1" customHeight="1" outlineLevel="1" x14ac:dyDescent="0.25">
      <c r="A562" s="26" t="str">
        <f>IF(K562="","",MAX(A$2:A561)+1)</f>
        <v/>
      </c>
      <c r="B562" s="205"/>
      <c r="C562" s="152" t="s">
        <v>238</v>
      </c>
      <c r="D562" s="149"/>
      <c r="E562" s="149"/>
      <c r="F562" s="149"/>
      <c r="G562" s="149"/>
      <c r="H562" s="149" t="s">
        <v>12</v>
      </c>
      <c r="I562" s="149">
        <v>1</v>
      </c>
      <c r="J562" s="150"/>
      <c r="K562" s="150"/>
      <c r="L562" s="175"/>
      <c r="M562" s="118"/>
      <c r="N562" s="118"/>
      <c r="O562" s="151"/>
    </row>
    <row r="563" spans="1:20" s="119" customFormat="1" ht="13.15" hidden="1" customHeight="1" outlineLevel="1" x14ac:dyDescent="0.25">
      <c r="A563" s="26" t="str">
        <f>IF(K563="","",MAX(A$2:A562)+1)</f>
        <v/>
      </c>
      <c r="B563" s="205"/>
      <c r="C563" s="152" t="s">
        <v>239</v>
      </c>
      <c r="D563" s="149"/>
      <c r="E563" s="149"/>
      <c r="F563" s="149"/>
      <c r="G563" s="149"/>
      <c r="H563" s="149" t="s">
        <v>12</v>
      </c>
      <c r="I563" s="149">
        <v>1</v>
      </c>
      <c r="J563" s="150"/>
      <c r="K563" s="150"/>
      <c r="L563" s="175"/>
      <c r="M563" s="118"/>
      <c r="N563" s="118"/>
      <c r="O563" s="151"/>
    </row>
    <row r="564" spans="1:20" s="119" customFormat="1" ht="13.15" hidden="1" customHeight="1" outlineLevel="1" x14ac:dyDescent="0.25">
      <c r="A564" s="26" t="str">
        <f>IF(K564="","",MAX(A$2:A563)+1)</f>
        <v/>
      </c>
      <c r="B564" s="205"/>
      <c r="C564" s="152" t="s">
        <v>240</v>
      </c>
      <c r="D564" s="149"/>
      <c r="E564" s="149"/>
      <c r="F564" s="149"/>
      <c r="G564" s="149"/>
      <c r="H564" s="149" t="s">
        <v>12</v>
      </c>
      <c r="I564" s="149">
        <v>1</v>
      </c>
      <c r="J564" s="150"/>
      <c r="K564" s="150"/>
      <c r="L564" s="175"/>
      <c r="M564" s="118"/>
      <c r="N564" s="118"/>
      <c r="O564" s="151"/>
    </row>
    <row r="565" spans="1:20" s="119" customFormat="1" ht="13.15" hidden="1" customHeight="1" outlineLevel="1" x14ac:dyDescent="0.25">
      <c r="A565" s="26" t="str">
        <f>IF(K565="","",MAX(A$2:A564)+1)</f>
        <v/>
      </c>
      <c r="B565" s="205"/>
      <c r="C565" s="152"/>
      <c r="D565" s="149"/>
      <c r="E565" s="149"/>
      <c r="F565" s="149"/>
      <c r="G565" s="149"/>
      <c r="H565" s="149"/>
      <c r="I565" s="204">
        <f>SUM(I556:I564)</f>
        <v>9</v>
      </c>
      <c r="J565" s="150"/>
      <c r="K565" s="150"/>
      <c r="L565" s="175"/>
      <c r="M565" s="118"/>
      <c r="N565" s="118"/>
      <c r="O565" s="151"/>
    </row>
    <row r="566" spans="1:20" ht="15" customHeight="1" collapsed="1" x14ac:dyDescent="0.25">
      <c r="A566" s="26">
        <f>IF(K566="","",MAX(A$2:A565)+1)</f>
        <v>123</v>
      </c>
      <c r="B566" s="14"/>
      <c r="C566" s="43" t="s">
        <v>62</v>
      </c>
      <c r="D566" s="5"/>
      <c r="E566" s="5"/>
      <c r="F566" s="5"/>
      <c r="G566" s="5"/>
      <c r="H566" s="5"/>
      <c r="I566" s="5"/>
      <c r="J566" s="88"/>
      <c r="K566" s="88" t="s">
        <v>27</v>
      </c>
      <c r="L566" s="17">
        <v>37</v>
      </c>
      <c r="M566" s="17"/>
      <c r="N566" s="17">
        <f t="shared" ref="N566:N577" si="85">+M566*L566</f>
        <v>0</v>
      </c>
      <c r="P566" s="41"/>
      <c r="Q566" s="5"/>
      <c r="R566" s="5"/>
      <c r="S566" s="5"/>
      <c r="T566" s="41"/>
    </row>
    <row r="567" spans="1:20" s="119" customFormat="1" ht="13.15" hidden="1" customHeight="1" outlineLevel="1" x14ac:dyDescent="0.25">
      <c r="A567" s="26" t="str">
        <f>IF(K567="","",MAX(A$2:A566)+1)</f>
        <v/>
      </c>
      <c r="B567" s="205"/>
      <c r="C567" s="152" t="s">
        <v>343</v>
      </c>
      <c r="D567" s="149"/>
      <c r="E567" s="153"/>
      <c r="F567" s="153"/>
      <c r="G567" s="153"/>
      <c r="H567" s="154"/>
      <c r="I567" s="153"/>
      <c r="J567" s="155"/>
      <c r="K567" s="150"/>
      <c r="L567" s="118"/>
      <c r="M567" s="118"/>
      <c r="N567" s="118">
        <f t="shared" si="85"/>
        <v>0</v>
      </c>
      <c r="O567" s="156"/>
    </row>
    <row r="568" spans="1:20" ht="15" customHeight="1" collapsed="1" x14ac:dyDescent="0.25">
      <c r="A568" s="26">
        <f>IF(K568="","",MAX(A$2:A567)+1)</f>
        <v>124</v>
      </c>
      <c r="B568" s="14"/>
      <c r="C568" s="43" t="s">
        <v>175</v>
      </c>
      <c r="D568" s="5"/>
      <c r="E568" s="5"/>
      <c r="F568" s="5"/>
      <c r="G568" s="5"/>
      <c r="H568" s="5"/>
      <c r="I568" s="5"/>
      <c r="J568" s="88"/>
      <c r="K568" s="88" t="s">
        <v>27</v>
      </c>
      <c r="L568" s="17">
        <v>37</v>
      </c>
      <c r="M568" s="17"/>
      <c r="N568" s="17">
        <f t="shared" si="85"/>
        <v>0</v>
      </c>
      <c r="P568" s="41"/>
      <c r="Q568" s="5"/>
      <c r="R568" s="5"/>
      <c r="S568" s="5"/>
      <c r="T568" s="41"/>
    </row>
    <row r="569" spans="1:20" s="119" customFormat="1" ht="13.15" hidden="1" customHeight="1" outlineLevel="1" x14ac:dyDescent="0.25">
      <c r="A569" s="26" t="str">
        <f>IF(K569="","",MAX(A$2:A568)+1)</f>
        <v/>
      </c>
      <c r="B569" s="205"/>
      <c r="C569" s="152" t="s">
        <v>343</v>
      </c>
      <c r="D569" s="149"/>
      <c r="E569" s="153"/>
      <c r="F569" s="153"/>
      <c r="G569" s="153"/>
      <c r="H569" s="154"/>
      <c r="I569" s="153"/>
      <c r="J569" s="155"/>
      <c r="K569" s="150"/>
      <c r="L569" s="118"/>
      <c r="M569" s="118"/>
      <c r="N569" s="118">
        <f t="shared" si="85"/>
        <v>0</v>
      </c>
      <c r="O569" s="156"/>
    </row>
    <row r="570" spans="1:20" ht="15" customHeight="1" x14ac:dyDescent="0.25">
      <c r="A570" s="26" t="str">
        <f>IF(K570="","",MAX(A$2:A569)+1)</f>
        <v/>
      </c>
      <c r="B570" s="14"/>
      <c r="C570" s="43"/>
      <c r="D570" s="5"/>
      <c r="E570" s="5"/>
      <c r="F570" s="5"/>
      <c r="G570" s="5"/>
      <c r="H570" s="5"/>
      <c r="I570" s="5"/>
      <c r="J570" s="88"/>
      <c r="K570" s="88"/>
      <c r="L570" s="17"/>
      <c r="M570" s="17"/>
      <c r="N570" s="17">
        <f t="shared" si="85"/>
        <v>0</v>
      </c>
      <c r="P570" s="41"/>
      <c r="Q570" s="5"/>
      <c r="R570" s="5"/>
      <c r="S570" s="5"/>
      <c r="T570" s="41"/>
    </row>
    <row r="571" spans="1:20" ht="15" customHeight="1" x14ac:dyDescent="0.25">
      <c r="A571" s="26" t="str">
        <f>IF(K571="","",MAX(A$2:A570)+1)</f>
        <v/>
      </c>
      <c r="B571" s="14" t="s">
        <v>379</v>
      </c>
      <c r="C571" s="21" t="s">
        <v>395</v>
      </c>
      <c r="D571" s="5"/>
      <c r="E571" s="5"/>
      <c r="F571" s="5"/>
      <c r="G571" s="5"/>
      <c r="H571" s="5"/>
      <c r="I571" s="5"/>
      <c r="J571" s="88"/>
      <c r="K571" s="88"/>
      <c r="L571" s="51"/>
      <c r="M571" s="17"/>
      <c r="N571" s="17">
        <f t="shared" si="85"/>
        <v>0</v>
      </c>
      <c r="O571" s="56"/>
    </row>
    <row r="572" spans="1:20" ht="15" customHeight="1" x14ac:dyDescent="0.25">
      <c r="A572" s="26" t="str">
        <f>IF(K572="","",MAX(A$2:A571)+1)</f>
        <v/>
      </c>
      <c r="B572" s="14"/>
      <c r="C572" s="23" t="s">
        <v>396</v>
      </c>
      <c r="D572" s="5"/>
      <c r="E572" s="5"/>
      <c r="F572" s="5"/>
      <c r="G572" s="5"/>
      <c r="H572" s="5"/>
      <c r="I572" s="5"/>
      <c r="J572" s="88"/>
      <c r="K572" s="88"/>
      <c r="L572" s="51"/>
      <c r="M572" s="17"/>
      <c r="N572" s="17">
        <f t="shared" si="85"/>
        <v>0</v>
      </c>
      <c r="O572" s="56"/>
    </row>
    <row r="573" spans="1:20" ht="15" customHeight="1" x14ac:dyDescent="0.25">
      <c r="A573" s="26">
        <f>IF(K573="","",MAX(A$2:A572)+1)</f>
        <v>125</v>
      </c>
      <c r="B573" s="14"/>
      <c r="C573" s="43" t="s">
        <v>403</v>
      </c>
      <c r="D573" s="22"/>
      <c r="E573" s="22"/>
      <c r="F573" s="22"/>
      <c r="G573" s="22"/>
      <c r="H573" s="22"/>
      <c r="I573" s="22"/>
      <c r="J573" s="58"/>
      <c r="K573" s="88" t="s">
        <v>15</v>
      </c>
      <c r="L573" s="54">
        <v>4</v>
      </c>
      <c r="M573" s="17"/>
      <c r="N573" s="17">
        <f>+M573*L573</f>
        <v>0</v>
      </c>
      <c r="O573" s="56"/>
    </row>
    <row r="574" spans="1:20" ht="15" customHeight="1" x14ac:dyDescent="0.25">
      <c r="A574" s="26">
        <f>IF(K574="","",MAX(A$2:A573)+1)</f>
        <v>126</v>
      </c>
      <c r="B574" s="14"/>
      <c r="C574" s="43" t="s">
        <v>402</v>
      </c>
      <c r="D574" s="22"/>
      <c r="E574" s="22"/>
      <c r="F574" s="22"/>
      <c r="G574" s="22"/>
      <c r="H574" s="22"/>
      <c r="I574" s="22"/>
      <c r="J574" s="58"/>
      <c r="K574" s="88" t="s">
        <v>15</v>
      </c>
      <c r="L574" s="54">
        <v>1</v>
      </c>
      <c r="M574" s="17"/>
      <c r="N574" s="17">
        <f>+M574*L574</f>
        <v>0</v>
      </c>
      <c r="O574" s="56"/>
    </row>
    <row r="575" spans="1:20" ht="15" customHeight="1" x14ac:dyDescent="0.25">
      <c r="A575" s="26">
        <f>IF(K575="","",MAX(A$2:A574)+1)</f>
        <v>127</v>
      </c>
      <c r="B575" s="14"/>
      <c r="C575" s="131" t="s">
        <v>404</v>
      </c>
      <c r="D575" s="22"/>
      <c r="E575" s="22"/>
      <c r="F575" s="22"/>
      <c r="G575" s="22"/>
      <c r="H575" s="22"/>
      <c r="I575" s="22"/>
      <c r="J575" s="58"/>
      <c r="K575" s="88" t="s">
        <v>15</v>
      </c>
      <c r="L575" s="54">
        <v>3</v>
      </c>
      <c r="M575" s="17"/>
      <c r="N575" s="17">
        <f>+M575*L575</f>
        <v>0</v>
      </c>
      <c r="O575" s="56"/>
    </row>
    <row r="576" spans="1:20" ht="15" customHeight="1" x14ac:dyDescent="0.25">
      <c r="A576" s="26">
        <f>IF(K576="","",MAX(A$2:A575)+1)</f>
        <v>128</v>
      </c>
      <c r="B576" s="14"/>
      <c r="C576" s="131" t="s">
        <v>405</v>
      </c>
      <c r="D576" s="22"/>
      <c r="E576" s="22"/>
      <c r="F576" s="22"/>
      <c r="G576" s="22"/>
      <c r="H576" s="22"/>
      <c r="I576" s="22"/>
      <c r="J576" s="58"/>
      <c r="K576" s="88" t="s">
        <v>15</v>
      </c>
      <c r="L576" s="54">
        <v>4</v>
      </c>
      <c r="M576" s="17"/>
      <c r="N576" s="17">
        <f>+M576*L576</f>
        <v>0</v>
      </c>
      <c r="O576" s="56"/>
    </row>
    <row r="577" spans="1:16" ht="15" customHeight="1" x14ac:dyDescent="0.25">
      <c r="A577" s="26">
        <f>IF(K577="","",MAX(A$2:A576)+1)</f>
        <v>129</v>
      </c>
      <c r="B577" s="14"/>
      <c r="C577" s="131" t="s">
        <v>406</v>
      </c>
      <c r="D577" s="5"/>
      <c r="E577" s="5"/>
      <c r="F577" s="5"/>
      <c r="G577" s="5"/>
      <c r="H577" s="5"/>
      <c r="I577" s="5"/>
      <c r="J577" s="88"/>
      <c r="K577" s="88" t="s">
        <v>15</v>
      </c>
      <c r="L577" s="54">
        <v>2</v>
      </c>
      <c r="M577" s="17"/>
      <c r="N577" s="17">
        <f t="shared" si="85"/>
        <v>0</v>
      </c>
      <c r="O577" s="56"/>
    </row>
    <row r="578" spans="1:16" ht="15" customHeight="1" x14ac:dyDescent="0.25">
      <c r="A578" s="26" t="str">
        <f>IF(K578="","",MAX(A$2:A577)+1)</f>
        <v/>
      </c>
      <c r="B578" s="14"/>
      <c r="C578" s="43"/>
      <c r="D578" s="22"/>
      <c r="E578" s="22"/>
      <c r="F578" s="22"/>
      <c r="G578" s="22"/>
      <c r="H578" s="22"/>
      <c r="I578" s="22"/>
      <c r="J578" s="58"/>
      <c r="K578" s="88"/>
      <c r="L578" s="54"/>
      <c r="M578" s="17"/>
      <c r="N578" s="17">
        <f t="shared" ref="N578:N581" si="86">+M578*L578</f>
        <v>0</v>
      </c>
      <c r="O578" s="56"/>
    </row>
    <row r="579" spans="1:16" ht="15" customHeight="1" x14ac:dyDescent="0.25">
      <c r="A579" s="26" t="str">
        <f>IF(K579="","",MAX(A$2:A578)+1)</f>
        <v/>
      </c>
      <c r="B579" s="14" t="s">
        <v>401</v>
      </c>
      <c r="C579" s="21" t="s">
        <v>441</v>
      </c>
      <c r="D579" s="5"/>
      <c r="E579" s="41"/>
      <c r="F579" s="41"/>
      <c r="G579" s="41"/>
      <c r="H579" s="41"/>
      <c r="I579" s="41"/>
      <c r="J579" s="49"/>
      <c r="K579" s="88"/>
      <c r="L579" s="17"/>
      <c r="M579" s="17"/>
      <c r="N579" s="17">
        <f t="shared" si="86"/>
        <v>0</v>
      </c>
      <c r="O579" s="129"/>
    </row>
    <row r="580" spans="1:16" ht="15" customHeight="1" x14ac:dyDescent="0.25">
      <c r="A580" s="26" t="str">
        <f>IF(K580="","",MAX(A$2:A579)+1)</f>
        <v/>
      </c>
      <c r="B580" s="14"/>
      <c r="C580" s="23" t="s">
        <v>67</v>
      </c>
      <c r="D580" s="5"/>
      <c r="E580" s="41"/>
      <c r="F580" s="41"/>
      <c r="G580" s="41"/>
      <c r="H580" s="41"/>
      <c r="I580" s="41"/>
      <c r="J580" s="49"/>
      <c r="K580" s="88"/>
      <c r="L580" s="17"/>
      <c r="M580" s="17"/>
      <c r="N580" s="17">
        <f t="shared" si="86"/>
        <v>0</v>
      </c>
      <c r="O580" s="130"/>
    </row>
    <row r="581" spans="1:16" ht="15" customHeight="1" x14ac:dyDescent="0.25">
      <c r="A581" s="26">
        <f>IF(K581="","",MAX(A$2:A580)+1)</f>
        <v>130</v>
      </c>
      <c r="B581" s="14"/>
      <c r="C581" s="43" t="s">
        <v>287</v>
      </c>
      <c r="D581" s="5"/>
      <c r="E581" s="41"/>
      <c r="F581" s="41"/>
      <c r="G581" s="41"/>
      <c r="H581" s="41"/>
      <c r="I581" s="41"/>
      <c r="J581" s="49"/>
      <c r="K581" s="88" t="s">
        <v>60</v>
      </c>
      <c r="L581" s="54">
        <v>1</v>
      </c>
      <c r="M581" s="17"/>
      <c r="N581" s="17">
        <f t="shared" si="86"/>
        <v>0</v>
      </c>
      <c r="O581" s="130"/>
    </row>
    <row r="582" spans="1:16" ht="15" customHeight="1" x14ac:dyDescent="0.25">
      <c r="A582" s="26">
        <f>IF(K582="","",MAX(A$2:A581)+1)</f>
        <v>131</v>
      </c>
      <c r="B582" s="14"/>
      <c r="C582" s="188" t="s">
        <v>283</v>
      </c>
      <c r="D582" s="5"/>
      <c r="E582" s="5"/>
      <c r="F582" s="5"/>
      <c r="G582" s="5"/>
      <c r="H582" s="5"/>
      <c r="I582" s="5"/>
      <c r="J582" s="88"/>
      <c r="K582" s="88" t="s">
        <v>60</v>
      </c>
      <c r="L582" s="54">
        <v>1</v>
      </c>
      <c r="M582" s="17"/>
      <c r="N582" s="17">
        <f t="shared" ref="N582" si="87">+M582*L582</f>
        <v>0</v>
      </c>
      <c r="O582" s="56"/>
    </row>
    <row r="583" spans="1:16" ht="15" customHeight="1" x14ac:dyDescent="0.25">
      <c r="A583" s="26">
        <f>IF(K583="","",MAX(A$2:A582)+1)</f>
        <v>132</v>
      </c>
      <c r="B583" s="14"/>
      <c r="C583" s="43" t="s">
        <v>288</v>
      </c>
      <c r="D583" s="5"/>
      <c r="E583" s="41"/>
      <c r="F583" s="41"/>
      <c r="G583" s="41"/>
      <c r="H583" s="41"/>
      <c r="I583" s="41"/>
      <c r="J583" s="49"/>
      <c r="K583" s="88" t="s">
        <v>60</v>
      </c>
      <c r="L583" s="54">
        <v>1</v>
      </c>
      <c r="M583" s="17"/>
      <c r="N583" s="17">
        <f>+M583*L583</f>
        <v>0</v>
      </c>
      <c r="O583" s="130"/>
      <c r="P583" s="130"/>
    </row>
    <row r="584" spans="1:16" ht="15" customHeight="1" x14ac:dyDescent="0.25">
      <c r="A584" s="26">
        <f>IF(K584="","",MAX(A$2:A583)+1)</f>
        <v>133</v>
      </c>
      <c r="B584" s="14"/>
      <c r="C584" s="43" t="s">
        <v>289</v>
      </c>
      <c r="D584" s="5"/>
      <c r="E584" s="41"/>
      <c r="F584" s="41"/>
      <c r="G584" s="41"/>
      <c r="H584" s="41"/>
      <c r="I584" s="41"/>
      <c r="J584" s="49"/>
      <c r="K584" s="88" t="s">
        <v>60</v>
      </c>
      <c r="L584" s="54">
        <v>1</v>
      </c>
      <c r="M584" s="17"/>
      <c r="N584" s="17">
        <f>+M584*L584</f>
        <v>0</v>
      </c>
      <c r="O584" s="130"/>
    </row>
    <row r="585" spans="1:16" ht="15" customHeight="1" x14ac:dyDescent="0.25">
      <c r="A585" s="26">
        <f>IF(K585="","",MAX(A$2:A584)+1)</f>
        <v>134</v>
      </c>
      <c r="B585" s="14"/>
      <c r="C585" s="43" t="s">
        <v>290</v>
      </c>
      <c r="D585" s="5"/>
      <c r="E585" s="41"/>
      <c r="F585" s="41"/>
      <c r="G585" s="41"/>
      <c r="H585" s="41"/>
      <c r="I585" s="41"/>
      <c r="J585" s="49"/>
      <c r="K585" s="88" t="s">
        <v>60</v>
      </c>
      <c r="L585" s="54">
        <v>1</v>
      </c>
      <c r="M585" s="17"/>
      <c r="N585" s="17">
        <f>+M585*L585</f>
        <v>0</v>
      </c>
      <c r="O585" s="130"/>
    </row>
    <row r="586" spans="1:16" ht="15" customHeight="1" x14ac:dyDescent="0.25">
      <c r="A586" s="26">
        <f>IF(K586="","",MAX(A$2:A585)+1)</f>
        <v>135</v>
      </c>
      <c r="B586" s="14"/>
      <c r="C586" s="188" t="s">
        <v>283</v>
      </c>
      <c r="D586" s="5"/>
      <c r="E586" s="5"/>
      <c r="F586" s="5"/>
      <c r="G586" s="5"/>
      <c r="H586" s="5"/>
      <c r="I586" s="5"/>
      <c r="J586" s="88"/>
      <c r="K586" s="88" t="s">
        <v>60</v>
      </c>
      <c r="L586" s="54">
        <v>1</v>
      </c>
      <c r="M586" s="17"/>
      <c r="N586" s="17">
        <f t="shared" ref="N586" si="88">+M586*L586</f>
        <v>0</v>
      </c>
      <c r="O586" s="56"/>
    </row>
    <row r="587" spans="1:16" ht="15" customHeight="1" x14ac:dyDescent="0.25">
      <c r="A587" s="26" t="str">
        <f>IF(K587="","",MAX(A$2:A586)+1)</f>
        <v/>
      </c>
      <c r="B587" s="14"/>
      <c r="C587" s="20"/>
      <c r="D587" s="5"/>
      <c r="E587" s="5"/>
      <c r="F587" s="5"/>
      <c r="G587" s="5"/>
      <c r="H587" s="6"/>
      <c r="I587" s="5"/>
      <c r="J587" s="88"/>
      <c r="K587" s="88"/>
      <c r="L587" s="17"/>
      <c r="M587" s="17"/>
      <c r="N587" s="17"/>
      <c r="O587" s="130"/>
    </row>
    <row r="588" spans="1:16" ht="15" customHeight="1" x14ac:dyDescent="0.25">
      <c r="A588" s="26" t="str">
        <f>IF(K588="","",MAX(A$2:A587)+1)</f>
        <v/>
      </c>
      <c r="B588" s="14" t="s">
        <v>410</v>
      </c>
      <c r="C588" s="21" t="s">
        <v>150</v>
      </c>
      <c r="D588" s="5"/>
      <c r="E588" s="6"/>
      <c r="F588" s="5"/>
      <c r="G588" s="5"/>
      <c r="H588" s="5"/>
      <c r="I588" s="5"/>
      <c r="J588" s="88"/>
      <c r="K588" s="88"/>
      <c r="L588" s="17"/>
      <c r="M588" s="17"/>
      <c r="N588" s="17">
        <f t="shared" ref="N588:N602" si="89">+M588*L588</f>
        <v>0</v>
      </c>
      <c r="O588" s="56"/>
    </row>
    <row r="589" spans="1:16" ht="15" customHeight="1" x14ac:dyDescent="0.25">
      <c r="A589" s="26" t="str">
        <f>IF(K589="","",MAX(A$2:A588)+1)</f>
        <v/>
      </c>
      <c r="B589" s="14"/>
      <c r="C589" s="128" t="s">
        <v>151</v>
      </c>
      <c r="D589" s="23"/>
      <c r="E589" s="23"/>
      <c r="F589" s="23"/>
      <c r="G589" s="23"/>
      <c r="H589" s="23"/>
      <c r="I589" s="23"/>
      <c r="J589" s="47"/>
      <c r="K589" s="88"/>
      <c r="L589" s="17"/>
      <c r="M589" s="17"/>
      <c r="N589" s="17">
        <f t="shared" si="89"/>
        <v>0</v>
      </c>
      <c r="O589" s="56"/>
    </row>
    <row r="590" spans="1:16" ht="15" customHeight="1" x14ac:dyDescent="0.25">
      <c r="A590" s="26">
        <f>IF(K590="","",MAX(A$2:A589)+1)</f>
        <v>136</v>
      </c>
      <c r="B590" s="14"/>
      <c r="C590" s="43" t="s">
        <v>121</v>
      </c>
      <c r="D590" s="23"/>
      <c r="E590" s="23"/>
      <c r="F590" s="23"/>
      <c r="G590" s="23"/>
      <c r="H590" s="23"/>
      <c r="I590" s="23"/>
      <c r="J590" s="47"/>
      <c r="K590" s="115" t="s">
        <v>75</v>
      </c>
      <c r="L590" s="54"/>
      <c r="M590" s="17"/>
      <c r="N590" s="17">
        <f t="shared" si="89"/>
        <v>0</v>
      </c>
      <c r="O590" s="56"/>
    </row>
    <row r="591" spans="1:16" ht="15" customHeight="1" collapsed="1" x14ac:dyDescent="0.25">
      <c r="A591" s="26">
        <f>IF(K591="","",MAX(A$2:A590)+1)</f>
        <v>137</v>
      </c>
      <c r="B591" s="14"/>
      <c r="C591" s="43" t="s">
        <v>122</v>
      </c>
      <c r="D591" s="23"/>
      <c r="E591" s="23"/>
      <c r="F591" s="23"/>
      <c r="G591" s="23"/>
      <c r="H591" s="23"/>
      <c r="I591" s="23"/>
      <c r="J591" s="47"/>
      <c r="K591" s="88" t="s">
        <v>60</v>
      </c>
      <c r="L591" s="54">
        <v>28</v>
      </c>
      <c r="M591" s="17"/>
      <c r="N591" s="17">
        <f t="shared" si="89"/>
        <v>0</v>
      </c>
      <c r="O591" s="56"/>
    </row>
    <row r="592" spans="1:16" s="119" customFormat="1" ht="13.15" hidden="1" customHeight="1" outlineLevel="1" x14ac:dyDescent="0.25">
      <c r="A592" s="26" t="str">
        <f>IF(K592="","",MAX(A$2:A591)+1)</f>
        <v/>
      </c>
      <c r="B592" s="205"/>
      <c r="C592" s="152" t="s">
        <v>343</v>
      </c>
      <c r="D592" s="149"/>
      <c r="E592" s="153"/>
      <c r="F592" s="153"/>
      <c r="G592" s="153"/>
      <c r="H592" s="154"/>
      <c r="I592" s="153"/>
      <c r="J592" s="155"/>
      <c r="K592" s="150"/>
      <c r="L592" s="118"/>
      <c r="M592" s="118"/>
      <c r="N592" s="118">
        <f t="shared" si="89"/>
        <v>0</v>
      </c>
      <c r="O592" s="156"/>
    </row>
    <row r="593" spans="1:16" ht="15" customHeight="1" x14ac:dyDescent="0.25">
      <c r="A593" s="26" t="str">
        <f>IF(K593="","",MAX(A$2:A592)+1)</f>
        <v/>
      </c>
      <c r="B593" s="14"/>
      <c r="C593" s="21"/>
      <c r="D593" s="5"/>
      <c r="E593" s="5"/>
      <c r="F593" s="5"/>
      <c r="G593" s="5"/>
      <c r="H593" s="5"/>
      <c r="I593" s="5"/>
      <c r="J593" s="88"/>
      <c r="K593" s="88"/>
      <c r="L593" s="17"/>
      <c r="M593" s="17"/>
      <c r="N593" s="17">
        <f t="shared" si="89"/>
        <v>0</v>
      </c>
      <c r="O593" s="56"/>
    </row>
    <row r="594" spans="1:16" ht="15" customHeight="1" x14ac:dyDescent="0.25">
      <c r="A594" s="26" t="str">
        <f>IF(K594="","",MAX(A$2:A593)+1)</f>
        <v/>
      </c>
      <c r="B594" s="14" t="s">
        <v>411</v>
      </c>
      <c r="C594" s="21" t="s">
        <v>68</v>
      </c>
      <c r="D594" s="5"/>
      <c r="E594" s="6"/>
      <c r="F594" s="5"/>
      <c r="G594" s="5"/>
      <c r="H594" s="5"/>
      <c r="I594" s="5"/>
      <c r="J594" s="88"/>
      <c r="K594" s="88"/>
      <c r="L594" s="17"/>
      <c r="M594" s="17"/>
      <c r="N594" s="17">
        <f t="shared" si="89"/>
        <v>0</v>
      </c>
      <c r="O594" s="56"/>
    </row>
    <row r="595" spans="1:16" ht="15" customHeight="1" x14ac:dyDescent="0.25">
      <c r="A595" s="26">
        <f>IF(K595="","",MAX(A$2:A594)+1)</f>
        <v>138</v>
      </c>
      <c r="B595" s="14"/>
      <c r="C595" s="23" t="s">
        <v>369</v>
      </c>
      <c r="D595" s="5"/>
      <c r="E595" s="5"/>
      <c r="F595" s="5"/>
      <c r="G595" s="5"/>
      <c r="H595" s="5"/>
      <c r="I595" s="5"/>
      <c r="J595" s="88"/>
      <c r="K595" s="88" t="s">
        <v>15</v>
      </c>
      <c r="L595" s="54">
        <v>12</v>
      </c>
      <c r="M595" s="17"/>
      <c r="N595" s="17">
        <f t="shared" si="89"/>
        <v>0</v>
      </c>
      <c r="O595" s="56"/>
    </row>
    <row r="596" spans="1:16" ht="15" customHeight="1" x14ac:dyDescent="0.25">
      <c r="A596" s="26" t="str">
        <f>IF(K596="","",MAX(A$2:A595)+1)</f>
        <v/>
      </c>
      <c r="B596" s="14"/>
      <c r="C596" s="21"/>
      <c r="D596" s="5"/>
      <c r="E596" s="5"/>
      <c r="F596" s="5"/>
      <c r="G596" s="5"/>
      <c r="H596" s="5"/>
      <c r="I596" s="5"/>
      <c r="J596" s="88"/>
      <c r="K596" s="88"/>
      <c r="L596" s="17"/>
      <c r="M596" s="17"/>
      <c r="N596" s="17">
        <f t="shared" si="89"/>
        <v>0</v>
      </c>
      <c r="O596" s="129"/>
    </row>
    <row r="597" spans="1:16" ht="15" customHeight="1" x14ac:dyDescent="0.25">
      <c r="A597" s="26" t="str">
        <f>IF(K597="","",MAX(A$2:A596)+1)</f>
        <v/>
      </c>
      <c r="B597" s="14" t="s">
        <v>412</v>
      </c>
      <c r="C597" s="21" t="s">
        <v>69</v>
      </c>
      <c r="D597" s="23"/>
      <c r="E597" s="23"/>
      <c r="F597" s="23"/>
      <c r="G597" s="23"/>
      <c r="H597" s="23"/>
      <c r="I597" s="23"/>
      <c r="J597" s="47"/>
      <c r="K597" s="88"/>
      <c r="L597" s="54"/>
      <c r="M597" s="17"/>
      <c r="N597" s="17">
        <f t="shared" si="89"/>
        <v>0</v>
      </c>
      <c r="O597" s="56"/>
    </row>
    <row r="598" spans="1:16" ht="15" customHeight="1" x14ac:dyDescent="0.25">
      <c r="A598" s="26">
        <f>IF(K598="","",MAX(A$2:A597)+1)</f>
        <v>139</v>
      </c>
      <c r="B598" s="14"/>
      <c r="C598" s="23" t="s">
        <v>183</v>
      </c>
      <c r="D598" s="23"/>
      <c r="E598" s="23"/>
      <c r="F598" s="23"/>
      <c r="G598" s="23"/>
      <c r="H598" s="23"/>
      <c r="I598" s="23"/>
      <c r="J598" s="47"/>
      <c r="K598" s="88" t="s">
        <v>60</v>
      </c>
      <c r="L598" s="54">
        <v>2</v>
      </c>
      <c r="M598" s="17"/>
      <c r="N598" s="17">
        <f t="shared" si="89"/>
        <v>0</v>
      </c>
      <c r="O598" s="56"/>
    </row>
    <row r="599" spans="1:16" ht="15" customHeight="1" x14ac:dyDescent="0.25">
      <c r="A599" s="26" t="str">
        <f>IF(K599="","",MAX(A$2:A598)+1)</f>
        <v/>
      </c>
      <c r="B599" s="14"/>
      <c r="C599" s="23"/>
      <c r="D599" s="23"/>
      <c r="E599" s="23"/>
      <c r="F599" s="23"/>
      <c r="G599" s="23"/>
      <c r="H599" s="23"/>
      <c r="I599" s="23"/>
      <c r="J599" s="47"/>
      <c r="K599" s="88"/>
      <c r="L599" s="54"/>
      <c r="M599" s="17"/>
      <c r="N599" s="17">
        <f t="shared" si="89"/>
        <v>0</v>
      </c>
      <c r="O599" s="56"/>
    </row>
    <row r="600" spans="1:16" ht="15" customHeight="1" x14ac:dyDescent="0.25">
      <c r="A600" s="26" t="str">
        <f>IF(K600="","",MAX(A$2:A599)+1)</f>
        <v/>
      </c>
      <c r="B600" s="14" t="s">
        <v>418</v>
      </c>
      <c r="C600" s="21" t="s">
        <v>168</v>
      </c>
      <c r="D600" s="5"/>
      <c r="E600" s="5"/>
      <c r="F600" s="5"/>
      <c r="G600" s="5"/>
      <c r="H600" s="5"/>
      <c r="I600" s="5"/>
      <c r="J600" s="88"/>
      <c r="K600" s="88"/>
      <c r="L600" s="17"/>
      <c r="M600" s="17"/>
      <c r="N600" s="17">
        <f t="shared" si="89"/>
        <v>0</v>
      </c>
      <c r="O600" s="56"/>
    </row>
    <row r="601" spans="1:16" ht="15" customHeight="1" x14ac:dyDescent="0.25">
      <c r="A601" s="26">
        <f>IF(K601="","",MAX(A$2:A600)+1)</f>
        <v>140</v>
      </c>
      <c r="B601" s="14"/>
      <c r="C601" s="23" t="s">
        <v>167</v>
      </c>
      <c r="D601" s="106"/>
      <c r="E601" s="106"/>
      <c r="F601" s="106"/>
      <c r="G601" s="106"/>
      <c r="H601" s="106"/>
      <c r="I601" s="106"/>
      <c r="J601" s="107"/>
      <c r="K601" s="88" t="s">
        <v>10</v>
      </c>
      <c r="L601" s="17">
        <v>1</v>
      </c>
      <c r="M601" s="17"/>
      <c r="N601" s="17">
        <f t="shared" si="89"/>
        <v>0</v>
      </c>
      <c r="O601" s="56"/>
    </row>
    <row r="602" spans="1:16" ht="15" customHeight="1" x14ac:dyDescent="0.25">
      <c r="A602" s="26" t="str">
        <f>IF(K602="","",MAX(A$2:A601)+1)</f>
        <v/>
      </c>
      <c r="B602" s="14"/>
      <c r="C602" s="29"/>
      <c r="J602" s="92"/>
      <c r="K602" s="88"/>
      <c r="L602" s="17"/>
      <c r="M602" s="17"/>
      <c r="N602" s="17">
        <f t="shared" si="89"/>
        <v>0</v>
      </c>
      <c r="O602" s="56"/>
    </row>
    <row r="603" spans="1:16" ht="15" customHeight="1" x14ac:dyDescent="0.25">
      <c r="A603" s="26" t="str">
        <f>IF(K603="","",MAX(A$2:A602)+1)</f>
        <v/>
      </c>
      <c r="B603" s="14" t="s">
        <v>413</v>
      </c>
      <c r="C603" s="21" t="s">
        <v>370</v>
      </c>
      <c r="D603" s="106"/>
      <c r="E603" s="106"/>
      <c r="F603" s="106"/>
      <c r="G603" s="106"/>
      <c r="H603" s="106"/>
      <c r="I603" s="106"/>
      <c r="J603" s="107"/>
      <c r="K603" s="88"/>
      <c r="L603" s="54"/>
      <c r="M603" s="17"/>
      <c r="N603" s="17"/>
      <c r="O603" s="56"/>
    </row>
    <row r="604" spans="1:16" ht="15" customHeight="1" x14ac:dyDescent="0.25">
      <c r="A604" s="26">
        <f>IF(K604="","",MAX(A$2:A603)+1)</f>
        <v>141</v>
      </c>
      <c r="B604" s="14"/>
      <c r="C604" s="23" t="s">
        <v>371</v>
      </c>
      <c r="D604" s="106"/>
      <c r="E604" s="106"/>
      <c r="F604" s="106"/>
      <c r="G604" s="106"/>
      <c r="H604" s="106"/>
      <c r="I604" s="106"/>
      <c r="J604" s="107"/>
      <c r="K604" s="88" t="s">
        <v>27</v>
      </c>
      <c r="L604" s="17">
        <v>41</v>
      </c>
      <c r="M604" s="17"/>
      <c r="N604" s="17">
        <f t="shared" ref="N604:N607" si="90">+M604*L604</f>
        <v>0</v>
      </c>
      <c r="O604" s="56"/>
    </row>
    <row r="605" spans="1:16" ht="15" customHeight="1" x14ac:dyDescent="0.25">
      <c r="A605" s="26" t="str">
        <f>IF(K605="","",MAX(A$2:A604)+1)</f>
        <v/>
      </c>
      <c r="B605" s="14"/>
      <c r="C605" s="43"/>
      <c r="D605" s="106"/>
      <c r="E605" s="106"/>
      <c r="F605" s="106"/>
      <c r="G605" s="106"/>
      <c r="H605" s="106"/>
      <c r="I605" s="106"/>
      <c r="J605" s="107"/>
      <c r="K605" s="88"/>
      <c r="L605" s="54"/>
      <c r="M605" s="17"/>
      <c r="N605" s="17">
        <f t="shared" si="90"/>
        <v>0</v>
      </c>
      <c r="O605" s="56"/>
    </row>
    <row r="606" spans="1:16" ht="15" customHeight="1" x14ac:dyDescent="0.25">
      <c r="A606" s="26" t="str">
        <f>IF(K606="","",MAX(A$2:A605)+1)</f>
        <v/>
      </c>
      <c r="B606" s="14" t="s">
        <v>414</v>
      </c>
      <c r="C606" s="21" t="s">
        <v>48</v>
      </c>
      <c r="D606" s="5"/>
      <c r="E606" s="5"/>
      <c r="F606" s="5"/>
      <c r="G606" s="5"/>
      <c r="H606" s="5"/>
      <c r="I606" s="5"/>
      <c r="J606" s="88"/>
      <c r="K606" s="88"/>
      <c r="L606" s="17"/>
      <c r="M606" s="17"/>
      <c r="N606" s="17">
        <f t="shared" si="90"/>
        <v>0</v>
      </c>
      <c r="O606" s="56"/>
    </row>
    <row r="607" spans="1:16" ht="15" customHeight="1" x14ac:dyDescent="0.25">
      <c r="A607" s="26">
        <f>IF(K607="","",MAX(A$2:A606)+1)</f>
        <v>142</v>
      </c>
      <c r="B607" s="14"/>
      <c r="C607" s="43" t="s">
        <v>373</v>
      </c>
      <c r="D607" s="106"/>
      <c r="E607" s="106"/>
      <c r="F607" s="106"/>
      <c r="G607" s="106"/>
      <c r="H607" s="106"/>
      <c r="I607" s="106"/>
      <c r="J607" s="107"/>
      <c r="K607" s="88" t="s">
        <v>27</v>
      </c>
      <c r="L607" s="17">
        <v>27</v>
      </c>
      <c r="M607" s="17"/>
      <c r="N607" s="17">
        <f t="shared" si="90"/>
        <v>0</v>
      </c>
      <c r="O607" s="56"/>
      <c r="P607" s="64"/>
    </row>
    <row r="608" spans="1:16" ht="15" customHeight="1" x14ac:dyDescent="0.25">
      <c r="A608" s="26">
        <f>IF(K608="","",MAX(A$2:A607)+1)</f>
        <v>143</v>
      </c>
      <c r="B608" s="14"/>
      <c r="C608" s="43" t="s">
        <v>49</v>
      </c>
      <c r="D608" s="106"/>
      <c r="E608" s="106"/>
      <c r="F608" s="106"/>
      <c r="G608" s="106"/>
      <c r="H608" s="106"/>
      <c r="I608" s="106"/>
      <c r="J608" s="107"/>
      <c r="K608" s="88" t="s">
        <v>60</v>
      </c>
      <c r="L608" s="54">
        <v>5</v>
      </c>
      <c r="M608" s="17"/>
      <c r="N608" s="17">
        <f t="shared" ref="N608:N617" si="91">+M608*L608</f>
        <v>0</v>
      </c>
      <c r="O608" s="56"/>
    </row>
    <row r="609" spans="1:16" ht="15" customHeight="1" x14ac:dyDescent="0.25">
      <c r="A609" s="26">
        <f>IF(K609="","",MAX(A$2:A608)+1)</f>
        <v>144</v>
      </c>
      <c r="B609" s="14" t="s">
        <v>415</v>
      </c>
      <c r="C609" s="43" t="s">
        <v>136</v>
      </c>
      <c r="D609" s="106"/>
      <c r="E609" s="106"/>
      <c r="F609" s="106"/>
      <c r="G609" s="106"/>
      <c r="H609" s="106"/>
      <c r="I609" s="106"/>
      <c r="J609" s="107"/>
      <c r="K609" s="88" t="s">
        <v>60</v>
      </c>
      <c r="L609" s="54">
        <v>2</v>
      </c>
      <c r="M609" s="17"/>
      <c r="N609" s="17">
        <f>+M609*L609</f>
        <v>0</v>
      </c>
      <c r="O609" s="56"/>
    </row>
    <row r="610" spans="1:16" ht="15" customHeight="1" x14ac:dyDescent="0.25">
      <c r="A610" s="26" t="str">
        <f>IF(K610="","",MAX(A$2:A609)+1)</f>
        <v/>
      </c>
      <c r="B610" s="14"/>
      <c r="C610" s="43"/>
      <c r="D610" s="106"/>
      <c r="E610" s="106"/>
      <c r="F610" s="106"/>
      <c r="G610" s="106"/>
      <c r="H610" s="106"/>
      <c r="I610" s="106"/>
      <c r="J610" s="107"/>
      <c r="K610" s="88"/>
      <c r="L610" s="54"/>
      <c r="M610" s="17"/>
      <c r="N610" s="17">
        <f t="shared" si="91"/>
        <v>0</v>
      </c>
      <c r="O610" s="56"/>
    </row>
    <row r="611" spans="1:16" ht="15" customHeight="1" x14ac:dyDescent="0.25">
      <c r="A611" s="26" t="str">
        <f>IF(K611="","",MAX(A$2:A610)+1)</f>
        <v/>
      </c>
      <c r="B611" s="14" t="s">
        <v>416</v>
      </c>
      <c r="C611" s="21" t="s">
        <v>51</v>
      </c>
      <c r="D611" s="5"/>
      <c r="E611" s="5"/>
      <c r="F611" s="5"/>
      <c r="G611" s="5"/>
      <c r="H611" s="5"/>
      <c r="I611" s="5"/>
      <c r="J611" s="88"/>
      <c r="K611" s="88"/>
      <c r="L611" s="17"/>
      <c r="M611" s="17"/>
      <c r="N611" s="17">
        <f t="shared" si="91"/>
        <v>0</v>
      </c>
      <c r="O611" s="56"/>
    </row>
    <row r="612" spans="1:16" ht="15" customHeight="1" x14ac:dyDescent="0.25">
      <c r="A612" s="26" t="str">
        <f>IF(K612="","",MAX(A$2:A611)+1)</f>
        <v/>
      </c>
      <c r="B612" s="14"/>
      <c r="C612" s="23" t="s">
        <v>152</v>
      </c>
      <c r="D612" s="5"/>
      <c r="E612" s="5"/>
      <c r="F612" s="5"/>
      <c r="G612" s="5"/>
      <c r="H612" s="5"/>
      <c r="I612" s="5"/>
      <c r="J612" s="88"/>
      <c r="K612" s="88"/>
      <c r="L612" s="17"/>
      <c r="M612" s="17"/>
      <c r="N612" s="17">
        <f t="shared" si="91"/>
        <v>0</v>
      </c>
      <c r="O612" s="56"/>
    </row>
    <row r="613" spans="1:16" ht="15" customHeight="1" x14ac:dyDescent="0.25">
      <c r="A613" s="26">
        <f>IF(K613="","",MAX(A$2:A612)+1)</f>
        <v>145</v>
      </c>
      <c r="B613" s="14"/>
      <c r="C613" s="43" t="s">
        <v>192</v>
      </c>
      <c r="D613" s="5"/>
      <c r="E613" s="5"/>
      <c r="F613" s="5"/>
      <c r="G613" s="5"/>
      <c r="H613" s="5"/>
      <c r="I613" s="5"/>
      <c r="J613" s="88"/>
      <c r="K613" s="88" t="s">
        <v>10</v>
      </c>
      <c r="L613" s="17">
        <v>1</v>
      </c>
      <c r="M613" s="17"/>
      <c r="N613" s="17">
        <f t="shared" ref="N613" si="92">+M613*L613</f>
        <v>0</v>
      </c>
      <c r="O613" s="56"/>
    </row>
    <row r="614" spans="1:16" ht="15" customHeight="1" x14ac:dyDescent="0.25">
      <c r="A614" s="26">
        <f>IF(K614="","",MAX(A$2:A613)+1)</f>
        <v>146</v>
      </c>
      <c r="B614" s="14"/>
      <c r="C614" s="43" t="s">
        <v>153</v>
      </c>
      <c r="D614" s="5"/>
      <c r="E614" s="5"/>
      <c r="F614" s="5"/>
      <c r="G614" s="5"/>
      <c r="H614" s="5"/>
      <c r="I614" s="5"/>
      <c r="J614" s="88"/>
      <c r="K614" s="88" t="s">
        <v>60</v>
      </c>
      <c r="L614" s="54">
        <v>10</v>
      </c>
      <c r="M614" s="17"/>
      <c r="N614" s="17">
        <f t="shared" si="91"/>
        <v>0</v>
      </c>
      <c r="O614" s="56"/>
    </row>
    <row r="615" spans="1:16" ht="15" customHeight="1" x14ac:dyDescent="0.25">
      <c r="A615" s="26">
        <f>IF(K615="","",MAX(A$2:A614)+1)</f>
        <v>147</v>
      </c>
      <c r="B615" s="14"/>
      <c r="C615" s="43" t="s">
        <v>154</v>
      </c>
      <c r="D615" s="5"/>
      <c r="E615" s="5"/>
      <c r="F615" s="5"/>
      <c r="G615" s="5"/>
      <c r="H615" s="5"/>
      <c r="I615" s="5"/>
      <c r="J615" s="88"/>
      <c r="K615" s="88" t="s">
        <v>27</v>
      </c>
      <c r="L615" s="17">
        <v>85</v>
      </c>
      <c r="M615" s="17"/>
      <c r="N615" s="17">
        <f t="shared" si="91"/>
        <v>0</v>
      </c>
      <c r="O615" s="56"/>
    </row>
    <row r="616" spans="1:16" ht="15" customHeight="1" x14ac:dyDescent="0.25">
      <c r="A616" s="26">
        <f>IF(K616="","",MAX(A$2:A615)+1)</f>
        <v>148</v>
      </c>
      <c r="B616" s="14"/>
      <c r="C616" s="43" t="s">
        <v>155</v>
      </c>
      <c r="D616" s="5"/>
      <c r="E616" s="5"/>
      <c r="F616" s="5"/>
      <c r="G616" s="5"/>
      <c r="H616" s="5"/>
      <c r="I616" s="5"/>
      <c r="J616" s="88"/>
      <c r="K616" s="88" t="s">
        <v>10</v>
      </c>
      <c r="L616" s="17">
        <v>1</v>
      </c>
      <c r="M616" s="17"/>
      <c r="N616" s="17">
        <f t="shared" si="91"/>
        <v>0</v>
      </c>
      <c r="O616" s="56"/>
    </row>
    <row r="617" spans="1:16" ht="15" customHeight="1" x14ac:dyDescent="0.25">
      <c r="A617" s="26" t="str">
        <f>IF(K617="","",MAX(A$2:A616)+1)</f>
        <v/>
      </c>
      <c r="B617" s="14"/>
      <c r="C617" s="21"/>
      <c r="D617" s="5"/>
      <c r="E617" s="5"/>
      <c r="F617" s="5"/>
      <c r="G617" s="5"/>
      <c r="H617" s="5"/>
      <c r="I617" s="5"/>
      <c r="J617" s="88"/>
      <c r="K617" s="88"/>
      <c r="L617" s="17"/>
      <c r="M617" s="17"/>
      <c r="N617" s="17">
        <f t="shared" si="91"/>
        <v>0</v>
      </c>
      <c r="O617" s="56"/>
      <c r="P617" s="55"/>
    </row>
    <row r="618" spans="1:16" ht="14.45" customHeight="1" x14ac:dyDescent="0.25">
      <c r="A618" s="26" t="str">
        <f>IF(K618="","",MAX(A$2:A617)+1)</f>
        <v/>
      </c>
      <c r="B618" s="14" t="s">
        <v>417</v>
      </c>
      <c r="C618" s="21" t="s">
        <v>139</v>
      </c>
      <c r="D618" s="23"/>
      <c r="E618" s="23"/>
      <c r="F618" s="23"/>
      <c r="G618" s="23"/>
      <c r="H618" s="23"/>
      <c r="I618" s="23"/>
      <c r="J618" s="47"/>
      <c r="K618" s="88"/>
      <c r="L618" s="54"/>
      <c r="M618" s="17"/>
      <c r="N618" s="17"/>
      <c r="O618" s="56"/>
    </row>
    <row r="619" spans="1:16" ht="15" customHeight="1" x14ac:dyDescent="0.25">
      <c r="A619" s="26">
        <f>IF(K619="","",MAX(A$2:A618)+1)</f>
        <v>149</v>
      </c>
      <c r="B619" s="14"/>
      <c r="C619" s="23" t="s">
        <v>138</v>
      </c>
      <c r="D619" s="23"/>
      <c r="E619" s="23"/>
      <c r="F619" s="23"/>
      <c r="G619" s="23"/>
      <c r="H619" s="23"/>
      <c r="I619" s="23"/>
      <c r="J619" s="47"/>
      <c r="K619" s="88" t="s">
        <v>27</v>
      </c>
      <c r="L619" s="17">
        <v>12</v>
      </c>
      <c r="M619" s="17"/>
      <c r="N619" s="17">
        <f>M619*L619</f>
        <v>0</v>
      </c>
      <c r="O619" s="56"/>
    </row>
    <row r="620" spans="1:16" ht="15" customHeight="1" x14ac:dyDescent="0.25">
      <c r="A620" s="26" t="str">
        <f>IF(K620="","",MAX(A$2:A619)+1)</f>
        <v/>
      </c>
      <c r="B620" s="14"/>
      <c r="C620" s="23"/>
      <c r="D620" s="23"/>
      <c r="E620" s="23"/>
      <c r="F620" s="23"/>
      <c r="G620" s="23"/>
      <c r="H620" s="23"/>
      <c r="I620" s="23"/>
      <c r="J620" s="47"/>
      <c r="K620" s="88"/>
      <c r="L620" s="17"/>
      <c r="M620" s="17"/>
      <c r="N620" s="17">
        <f t="shared" ref="N620:N626" si="93">M620*L620</f>
        <v>0</v>
      </c>
      <c r="O620" s="56"/>
    </row>
    <row r="621" spans="1:16" ht="15" customHeight="1" x14ac:dyDescent="0.25">
      <c r="A621" s="26" t="str">
        <f>IF(K621="","",MAX(A$2:A620)+1)</f>
        <v/>
      </c>
      <c r="B621" s="14" t="s">
        <v>419</v>
      </c>
      <c r="C621" s="21" t="s">
        <v>223</v>
      </c>
      <c r="D621" s="23"/>
      <c r="E621" s="23"/>
      <c r="F621" s="23"/>
      <c r="G621" s="23"/>
      <c r="H621" s="23"/>
      <c r="I621" s="23"/>
      <c r="J621" s="47"/>
      <c r="K621" s="88"/>
      <c r="L621" s="17"/>
      <c r="M621" s="17"/>
      <c r="N621" s="17">
        <f t="shared" si="93"/>
        <v>0</v>
      </c>
      <c r="O621" s="56"/>
    </row>
    <row r="622" spans="1:16" ht="15" customHeight="1" x14ac:dyDescent="0.25">
      <c r="A622" s="26">
        <f>IF(K622="","",MAX(A$2:A621)+1)</f>
        <v>150</v>
      </c>
      <c r="B622" s="14"/>
      <c r="C622" s="43" t="s">
        <v>224</v>
      </c>
      <c r="D622" s="23"/>
      <c r="E622" s="23"/>
      <c r="F622" s="23"/>
      <c r="G622" s="23"/>
      <c r="H622" s="23"/>
      <c r="I622" s="23"/>
      <c r="J622" s="47"/>
      <c r="K622" s="88" t="s">
        <v>60</v>
      </c>
      <c r="L622" s="54">
        <v>2</v>
      </c>
      <c r="M622" s="17"/>
      <c r="N622" s="17">
        <f t="shared" si="93"/>
        <v>0</v>
      </c>
      <c r="O622" s="56"/>
    </row>
    <row r="623" spans="1:16" ht="15" customHeight="1" x14ac:dyDescent="0.25">
      <c r="A623" s="26">
        <f>IF(K623="","",MAX(A$2:A622)+1)</f>
        <v>151</v>
      </c>
      <c r="B623" s="14"/>
      <c r="C623" s="43" t="s">
        <v>225</v>
      </c>
      <c r="D623" s="23"/>
      <c r="E623" s="23"/>
      <c r="F623" s="23"/>
      <c r="G623" s="23"/>
      <c r="H623" s="23"/>
      <c r="I623" s="23"/>
      <c r="J623" s="47"/>
      <c r="K623" s="88" t="s">
        <v>60</v>
      </c>
      <c r="L623" s="54">
        <v>1</v>
      </c>
      <c r="M623" s="17"/>
      <c r="N623" s="17">
        <f t="shared" si="93"/>
        <v>0</v>
      </c>
      <c r="O623" s="56"/>
    </row>
    <row r="624" spans="1:16" ht="15" customHeight="1" x14ac:dyDescent="0.25">
      <c r="A624" s="26">
        <f>IF(K624="","",MAX(A$2:A623)+1)</f>
        <v>152</v>
      </c>
      <c r="B624" s="14"/>
      <c r="C624" s="43" t="s">
        <v>226</v>
      </c>
      <c r="D624" s="23"/>
      <c r="E624" s="23"/>
      <c r="F624" s="23"/>
      <c r="G624" s="23"/>
      <c r="H624" s="23"/>
      <c r="I624" s="23"/>
      <c r="J624" s="47"/>
      <c r="K624" s="88" t="s">
        <v>60</v>
      </c>
      <c r="L624" s="54">
        <v>3</v>
      </c>
      <c r="M624" s="17"/>
      <c r="N624" s="17">
        <f t="shared" si="93"/>
        <v>0</v>
      </c>
      <c r="O624" s="56"/>
    </row>
    <row r="625" spans="1:18" ht="15" customHeight="1" x14ac:dyDescent="0.25">
      <c r="A625" s="26">
        <f>IF(K625="","",MAX(A$2:A624)+1)</f>
        <v>153</v>
      </c>
      <c r="B625" s="14"/>
      <c r="C625" s="43" t="s">
        <v>227</v>
      </c>
      <c r="D625" s="23"/>
      <c r="E625" s="23"/>
      <c r="F625" s="23"/>
      <c r="G625" s="23"/>
      <c r="H625" s="23"/>
      <c r="I625" s="23"/>
      <c r="J625" s="47"/>
      <c r="K625" s="88" t="s">
        <v>60</v>
      </c>
      <c r="L625" s="54">
        <v>1</v>
      </c>
      <c r="M625" s="17"/>
      <c r="N625" s="17">
        <f t="shared" si="93"/>
        <v>0</v>
      </c>
      <c r="O625" s="56"/>
      <c r="P625" s="104"/>
    </row>
    <row r="626" spans="1:18" ht="15" customHeight="1" x14ac:dyDescent="0.25">
      <c r="A626" s="26" t="str">
        <f>IF(K626="","",MAX(A$2:A625)+1)</f>
        <v/>
      </c>
      <c r="B626" s="14"/>
      <c r="C626" s="23"/>
      <c r="D626" s="23"/>
      <c r="E626" s="23"/>
      <c r="F626" s="23"/>
      <c r="G626" s="23"/>
      <c r="H626" s="23"/>
      <c r="I626" s="23"/>
      <c r="J626" s="47"/>
      <c r="K626" s="88"/>
      <c r="L626" s="54"/>
      <c r="M626" s="17"/>
      <c r="N626" s="17">
        <f t="shared" si="93"/>
        <v>0</v>
      </c>
      <c r="O626" s="56"/>
    </row>
    <row r="627" spans="1:18" ht="15" customHeight="1" x14ac:dyDescent="0.25">
      <c r="A627" s="26" t="str">
        <f>IF(K627="","",MAX(A$2:A626)+1)</f>
        <v/>
      </c>
      <c r="B627" s="14" t="s">
        <v>374</v>
      </c>
      <c r="C627" s="21" t="s">
        <v>178</v>
      </c>
      <c r="D627" s="23"/>
      <c r="E627" s="23"/>
      <c r="F627" s="23"/>
      <c r="G627" s="23"/>
      <c r="H627" s="23"/>
      <c r="I627" s="23"/>
      <c r="J627" s="47"/>
      <c r="K627" s="88"/>
      <c r="L627" s="17"/>
      <c r="M627" s="17"/>
      <c r="N627" s="17">
        <f t="shared" ref="N627:N629" si="94">M627*L627</f>
        <v>0</v>
      </c>
      <c r="O627" s="56"/>
      <c r="P627" s="104"/>
    </row>
    <row r="628" spans="1:18" ht="15" customHeight="1" x14ac:dyDescent="0.25">
      <c r="A628" s="26">
        <f>IF(K628="","",MAX(A$2:A627)+1)</f>
        <v>154</v>
      </c>
      <c r="B628" s="14"/>
      <c r="C628" s="43" t="s">
        <v>181</v>
      </c>
      <c r="D628" s="23"/>
      <c r="E628" s="23"/>
      <c r="F628" s="23"/>
      <c r="G628" s="23"/>
      <c r="H628" s="23"/>
      <c r="I628" s="23"/>
      <c r="J628" s="47"/>
      <c r="K628" s="88" t="s">
        <v>179</v>
      </c>
      <c r="L628" s="17">
        <v>120</v>
      </c>
      <c r="M628" s="17"/>
      <c r="N628" s="17">
        <f>M628*L628</f>
        <v>0</v>
      </c>
      <c r="O628" s="56"/>
    </row>
    <row r="629" spans="1:18" ht="15" customHeight="1" x14ac:dyDescent="0.25">
      <c r="A629" s="26">
        <f>IF(K629="","",MAX(A$2:A628)+1)</f>
        <v>155</v>
      </c>
      <c r="B629" s="14"/>
      <c r="C629" s="43" t="s">
        <v>180</v>
      </c>
      <c r="D629" s="23"/>
      <c r="E629" s="23"/>
      <c r="F629" s="23"/>
      <c r="G629" s="23"/>
      <c r="H629" s="23"/>
      <c r="I629" s="23"/>
      <c r="J629" s="47"/>
      <c r="K629" s="88" t="s">
        <v>179</v>
      </c>
      <c r="L629" s="17">
        <v>120</v>
      </c>
      <c r="M629" s="17"/>
      <c r="N629" s="17">
        <f t="shared" si="94"/>
        <v>0</v>
      </c>
      <c r="O629" s="56"/>
    </row>
    <row r="630" spans="1:18" s="23" customFormat="1" ht="15" customHeight="1" x14ac:dyDescent="0.25">
      <c r="A630" s="26" t="str">
        <f>IF(K630="","",MAX(A$2:A629)+1)</f>
        <v/>
      </c>
      <c r="B630" s="14"/>
      <c r="C630" s="18"/>
      <c r="D630" s="82"/>
      <c r="E630" s="82"/>
      <c r="F630" s="82"/>
      <c r="G630" s="82"/>
      <c r="H630" s="82"/>
      <c r="I630" s="82"/>
      <c r="J630" s="59"/>
      <c r="K630" s="89"/>
      <c r="L630" s="19"/>
      <c r="M630" s="19"/>
      <c r="N630" s="19"/>
      <c r="O630" s="5"/>
    </row>
    <row r="631" spans="1:18" s="23" customFormat="1" ht="25.15" customHeight="1" x14ac:dyDescent="0.25">
      <c r="A631" s="26" t="str">
        <f>IF(K631="","",MAX(A$2:A630)+1)</f>
        <v/>
      </c>
      <c r="B631" s="14"/>
      <c r="C631" s="18"/>
      <c r="D631" s="82"/>
      <c r="E631" s="82"/>
      <c r="F631" s="82"/>
      <c r="G631" s="82"/>
      <c r="H631" s="82"/>
      <c r="I631" s="82"/>
      <c r="J631" s="172" t="s">
        <v>230</v>
      </c>
      <c r="K631" s="89"/>
      <c r="L631" s="19"/>
      <c r="M631" s="173"/>
      <c r="N631" s="174">
        <f>SUM(N428:N630)</f>
        <v>0</v>
      </c>
      <c r="O631" s="5"/>
    </row>
    <row r="632" spans="1:18" s="23" customFormat="1" ht="15" customHeight="1" x14ac:dyDescent="0.25">
      <c r="A632" s="26" t="str">
        <f>IF(K632="","",MAX(A$2:A631)+1)</f>
        <v/>
      </c>
      <c r="B632" s="14"/>
      <c r="C632" s="18"/>
      <c r="D632" s="82"/>
      <c r="E632" s="82"/>
      <c r="F632" s="82"/>
      <c r="G632" s="82"/>
      <c r="H632" s="82"/>
      <c r="I632" s="82"/>
      <c r="J632" s="59"/>
      <c r="K632" s="89"/>
      <c r="L632" s="19"/>
      <c r="M632" s="19"/>
      <c r="N632" s="19"/>
      <c r="O632" s="5"/>
    </row>
    <row r="633" spans="1:18" s="23" customFormat="1" ht="15" customHeight="1" x14ac:dyDescent="0.25">
      <c r="A633" s="26">
        <f>IF(K633="","",MAX(A$2:A632)+1)</f>
        <v>156</v>
      </c>
      <c r="B633" s="14" t="s">
        <v>389</v>
      </c>
      <c r="C633" s="21" t="s">
        <v>382</v>
      </c>
      <c r="D633" s="82"/>
      <c r="E633" s="82"/>
      <c r="F633" s="82"/>
      <c r="G633" s="82"/>
      <c r="H633" s="82"/>
      <c r="I633" s="82"/>
      <c r="J633" s="59"/>
      <c r="K633" s="89" t="s">
        <v>10</v>
      </c>
      <c r="L633" s="19">
        <v>1</v>
      </c>
      <c r="M633" s="19"/>
      <c r="N633" s="19">
        <f t="shared" ref="N633" si="95">+M633*L633</f>
        <v>0</v>
      </c>
      <c r="O633" s="5"/>
    </row>
    <row r="634" spans="1:18" ht="12.6" customHeight="1" x14ac:dyDescent="0.25">
      <c r="A634" s="45" t="str">
        <f>IF(K634="","",MAX(A$643:A907)+1)</f>
        <v/>
      </c>
      <c r="B634" s="28"/>
      <c r="C634" s="108"/>
      <c r="D634" s="95"/>
      <c r="E634" s="95"/>
      <c r="F634" s="95"/>
      <c r="G634" s="95"/>
      <c r="H634" s="95"/>
      <c r="I634" s="95"/>
      <c r="J634" s="90"/>
      <c r="K634" s="90"/>
      <c r="L634" s="30"/>
      <c r="M634" s="30"/>
      <c r="N634" s="30">
        <f t="shared" ref="N634" si="96">+M634*L634</f>
        <v>0</v>
      </c>
      <c r="O634" s="56"/>
      <c r="P634" s="55"/>
    </row>
    <row r="635" spans="1:18" ht="4.9000000000000004" customHeight="1" thickBot="1" x14ac:dyDescent="0.3">
      <c r="A635" s="31"/>
      <c r="B635" s="31"/>
      <c r="C635" s="32"/>
      <c r="D635" s="8"/>
      <c r="E635" s="8"/>
      <c r="F635" s="8"/>
      <c r="G635" s="8"/>
      <c r="H635" s="8"/>
      <c r="I635" s="8"/>
      <c r="J635" s="8"/>
      <c r="K635" s="33"/>
      <c r="L635" s="96"/>
      <c r="M635" s="34"/>
      <c r="N635" s="34"/>
    </row>
    <row r="636" spans="1:18" ht="21.75" customHeight="1" x14ac:dyDescent="0.25">
      <c r="H636" s="210"/>
      <c r="J636" s="208"/>
      <c r="K636" s="97" t="s">
        <v>54</v>
      </c>
      <c r="L636" s="35"/>
      <c r="M636" s="36"/>
      <c r="N636" s="137">
        <f>N631+N426+N633</f>
        <v>0</v>
      </c>
    </row>
    <row r="637" spans="1:18" ht="21.75" customHeight="1" x14ac:dyDescent="0.25">
      <c r="H637" s="210"/>
      <c r="J637" s="209" t="str">
        <f>+C5</f>
        <v>TRANCHE FERME - ZONE MATHURINS</v>
      </c>
      <c r="K637" s="98" t="s">
        <v>107</v>
      </c>
      <c r="L637" s="145"/>
      <c r="N637" s="37">
        <f>N636*0.2</f>
        <v>0</v>
      </c>
    </row>
    <row r="638" spans="1:18" ht="21.75" customHeight="1" thickBot="1" x14ac:dyDescent="0.3">
      <c r="H638" s="210"/>
      <c r="J638" s="208"/>
      <c r="K638" s="99" t="s">
        <v>55</v>
      </c>
      <c r="L638" s="38"/>
      <c r="M638" s="39"/>
      <c r="N638" s="138">
        <f>N636+N637</f>
        <v>0</v>
      </c>
    </row>
    <row r="640" spans="1:18" ht="15" customHeight="1" x14ac:dyDescent="0.25">
      <c r="A640" s="14"/>
      <c r="B640" s="15"/>
      <c r="C640" s="53"/>
      <c r="D640" s="53"/>
      <c r="E640" s="53"/>
      <c r="F640" s="53"/>
      <c r="G640" s="53"/>
      <c r="H640" s="53"/>
      <c r="I640" s="53"/>
      <c r="J640" s="60"/>
      <c r="K640" s="88"/>
      <c r="L640" s="16"/>
      <c r="M640" s="17"/>
      <c r="N640" s="17"/>
      <c r="P640" s="135"/>
      <c r="R640" s="66"/>
    </row>
    <row r="641" spans="1:18" ht="37.9" customHeight="1" x14ac:dyDescent="0.25">
      <c r="A641" s="14"/>
      <c r="B641" s="15"/>
      <c r="C641" s="243" t="s">
        <v>442</v>
      </c>
      <c r="D641" s="244"/>
      <c r="E641" s="244"/>
      <c r="F641" s="244"/>
      <c r="G641" s="244"/>
      <c r="H641" s="244"/>
      <c r="I641" s="244"/>
      <c r="J641" s="245"/>
      <c r="K641" s="88"/>
      <c r="L641" s="16"/>
      <c r="M641" s="17"/>
      <c r="N641" s="17"/>
      <c r="R641" s="66"/>
    </row>
    <row r="642" spans="1:18" ht="15" customHeight="1" x14ac:dyDescent="0.25">
      <c r="A642" s="26" t="str">
        <f>IF(K642="","",MAX(A$2:A641)+1)</f>
        <v/>
      </c>
      <c r="B642" s="15"/>
      <c r="C642" s="120"/>
      <c r="D642" s="121"/>
      <c r="E642" s="121"/>
      <c r="F642" s="121"/>
      <c r="G642" s="121"/>
      <c r="H642" s="121"/>
      <c r="I642" s="121"/>
      <c r="J642" s="122"/>
      <c r="K642" s="88"/>
      <c r="L642" s="16"/>
      <c r="M642" s="17"/>
      <c r="N642" s="17">
        <f t="shared" ref="N642:N656" si="97">+M642*L642</f>
        <v>0</v>
      </c>
      <c r="R642" s="136"/>
    </row>
    <row r="643" spans="1:18" ht="32.450000000000003" customHeight="1" x14ac:dyDescent="0.25">
      <c r="A643" s="26" t="str">
        <f>IF(K643="","",MAX(A$2:A642)+1)</f>
        <v/>
      </c>
      <c r="B643" s="14"/>
      <c r="C643" s="112" t="s">
        <v>28</v>
      </c>
      <c r="D643" s="100"/>
      <c r="E643" s="100"/>
      <c r="F643" s="100"/>
      <c r="G643" s="100"/>
      <c r="H643" s="100"/>
      <c r="I643" s="100"/>
      <c r="J643" s="101"/>
      <c r="K643" s="88"/>
      <c r="L643" s="16"/>
      <c r="M643" s="102"/>
      <c r="N643" s="17">
        <f t="shared" si="97"/>
        <v>0</v>
      </c>
    </row>
    <row r="644" spans="1:18" s="23" customFormat="1" ht="15" customHeight="1" x14ac:dyDescent="0.25">
      <c r="A644" s="26" t="str">
        <f>IF(K644="","",MAX(A$2:A643)+1)</f>
        <v/>
      </c>
      <c r="B644" s="14" t="s">
        <v>13</v>
      </c>
      <c r="C644" s="21" t="s">
        <v>29</v>
      </c>
      <c r="G644" s="22"/>
      <c r="H644" s="22"/>
      <c r="I644" s="22"/>
      <c r="J644" s="47"/>
      <c r="K644" s="88"/>
      <c r="L644" s="17"/>
      <c r="M644" s="17"/>
      <c r="N644" s="17">
        <f t="shared" si="97"/>
        <v>0</v>
      </c>
      <c r="O644" s="56"/>
    </row>
    <row r="645" spans="1:18" s="23" customFormat="1" ht="15" customHeight="1" x14ac:dyDescent="0.25">
      <c r="A645" s="26" t="str">
        <f>IF(K645="","",MAX(A$2:A644)+1)</f>
        <v/>
      </c>
      <c r="B645" s="14"/>
      <c r="C645" s="43" t="s">
        <v>194</v>
      </c>
      <c r="G645" s="22"/>
      <c r="H645" s="22"/>
      <c r="I645" s="22"/>
      <c r="J645" s="47"/>
      <c r="K645" s="88"/>
      <c r="L645" s="17"/>
      <c r="M645" s="17"/>
      <c r="N645" s="17">
        <f t="shared" si="97"/>
        <v>0</v>
      </c>
      <c r="O645" s="56"/>
    </row>
    <row r="646" spans="1:18" s="23" customFormat="1" ht="15" customHeight="1" x14ac:dyDescent="0.25">
      <c r="A646" s="26">
        <f>IF(K646="","",MAX(A$2:A645)+1)</f>
        <v>157</v>
      </c>
      <c r="B646" s="14"/>
      <c r="C646" s="42" t="s">
        <v>31</v>
      </c>
      <c r="G646" s="22"/>
      <c r="H646" s="22"/>
      <c r="I646" s="22"/>
      <c r="J646" s="47"/>
      <c r="K646" s="88" t="s">
        <v>10</v>
      </c>
      <c r="L646" s="17">
        <v>1</v>
      </c>
      <c r="M646" s="22"/>
      <c r="N646" s="17">
        <f>+M646*L646</f>
        <v>0</v>
      </c>
      <c r="O646" s="56"/>
    </row>
    <row r="647" spans="1:18" s="23" customFormat="1" ht="15" customHeight="1" x14ac:dyDescent="0.25">
      <c r="A647" s="26">
        <f>IF(K647="","",MAX(A$2:A646)+1)</f>
        <v>158</v>
      </c>
      <c r="B647" s="14"/>
      <c r="C647" s="42" t="s">
        <v>32</v>
      </c>
      <c r="G647" s="22"/>
      <c r="H647" s="22"/>
      <c r="I647" s="22"/>
      <c r="J647" s="47"/>
      <c r="K647" s="88" t="s">
        <v>15</v>
      </c>
      <c r="L647" s="17">
        <v>4</v>
      </c>
      <c r="M647" s="22"/>
      <c r="N647" s="17">
        <f t="shared" si="97"/>
        <v>0</v>
      </c>
      <c r="O647" s="56"/>
    </row>
    <row r="648" spans="1:18" s="23" customFormat="1" ht="15" customHeight="1" x14ac:dyDescent="0.25">
      <c r="A648" s="26">
        <f>IF(K648="","",MAX(A$2:A647)+1)</f>
        <v>159</v>
      </c>
      <c r="B648" s="14"/>
      <c r="C648" s="42" t="s">
        <v>195</v>
      </c>
      <c r="G648" s="22"/>
      <c r="H648" s="22"/>
      <c r="I648" s="22"/>
      <c r="J648" s="47"/>
      <c r="K648" s="88" t="s">
        <v>8</v>
      </c>
      <c r="L648" s="17">
        <v>17</v>
      </c>
      <c r="M648" s="22"/>
      <c r="N648" s="17">
        <f t="shared" si="97"/>
        <v>0</v>
      </c>
      <c r="O648" s="56"/>
    </row>
    <row r="649" spans="1:18" s="23" customFormat="1" ht="15" customHeight="1" x14ac:dyDescent="0.25">
      <c r="A649" s="26">
        <f>IF(K649="","",MAX(A$2:A648)+1)</f>
        <v>160</v>
      </c>
      <c r="B649" s="14"/>
      <c r="C649" s="42" t="s">
        <v>196</v>
      </c>
      <c r="G649" s="22"/>
      <c r="H649" s="22"/>
      <c r="I649" s="22"/>
      <c r="J649" s="47"/>
      <c r="K649" s="88" t="s">
        <v>10</v>
      </c>
      <c r="L649" s="17">
        <v>1</v>
      </c>
      <c r="M649" s="22"/>
      <c r="N649" s="17">
        <f t="shared" si="97"/>
        <v>0</v>
      </c>
      <c r="O649" s="56"/>
    </row>
    <row r="650" spans="1:18" s="23" customFormat="1" ht="15" customHeight="1" x14ac:dyDescent="0.25">
      <c r="A650" s="26" t="str">
        <f>IF(K650="","",MAX(A$2:A649)+1)</f>
        <v/>
      </c>
      <c r="B650" s="14"/>
      <c r="C650" s="43" t="s">
        <v>197</v>
      </c>
      <c r="G650" s="22"/>
      <c r="H650" s="22"/>
      <c r="I650" s="22"/>
      <c r="J650" s="47"/>
      <c r="K650" s="88"/>
      <c r="L650" s="17"/>
      <c r="M650" s="22"/>
      <c r="N650" s="17">
        <f t="shared" si="97"/>
        <v>0</v>
      </c>
      <c r="O650" s="56"/>
    </row>
    <row r="651" spans="1:18" s="23" customFormat="1" ht="15" customHeight="1" x14ac:dyDescent="0.25">
      <c r="A651" s="26">
        <f>IF(K651="","",MAX(A$2:A650)+1)</f>
        <v>161</v>
      </c>
      <c r="B651" s="14"/>
      <c r="C651" s="42" t="s">
        <v>35</v>
      </c>
      <c r="G651" s="22"/>
      <c r="H651" s="22"/>
      <c r="I651" s="22"/>
      <c r="J651" s="47"/>
      <c r="K651" s="88" t="s">
        <v>10</v>
      </c>
      <c r="L651" s="17">
        <v>1</v>
      </c>
      <c r="M651" s="22"/>
      <c r="N651" s="17">
        <f t="shared" si="97"/>
        <v>0</v>
      </c>
      <c r="O651" s="56"/>
    </row>
    <row r="652" spans="1:18" s="23" customFormat="1" ht="15" customHeight="1" x14ac:dyDescent="0.25">
      <c r="A652" s="26">
        <f>IF(K652="","",MAX(A$2:A651)+1)</f>
        <v>162</v>
      </c>
      <c r="B652" s="14"/>
      <c r="C652" s="42" t="s">
        <v>36</v>
      </c>
      <c r="G652" s="22"/>
      <c r="H652" s="22"/>
      <c r="I652" s="22"/>
      <c r="J652" s="47"/>
      <c r="K652" s="88" t="s">
        <v>15</v>
      </c>
      <c r="L652" s="17">
        <v>4</v>
      </c>
      <c r="M652" s="22"/>
      <c r="N652" s="17">
        <f t="shared" si="97"/>
        <v>0</v>
      </c>
      <c r="O652" s="56"/>
    </row>
    <row r="653" spans="1:18" s="23" customFormat="1" ht="15" customHeight="1" x14ac:dyDescent="0.25">
      <c r="A653" s="26">
        <f>IF(K653="","",MAX(A$2:A652)+1)</f>
        <v>163</v>
      </c>
      <c r="B653" s="14"/>
      <c r="C653" s="42" t="s">
        <v>195</v>
      </c>
      <c r="G653" s="22"/>
      <c r="H653" s="22"/>
      <c r="I653" s="22"/>
      <c r="J653" s="47"/>
      <c r="K653" s="88" t="s">
        <v>8</v>
      </c>
      <c r="L653" s="17">
        <v>17</v>
      </c>
      <c r="M653" s="22"/>
      <c r="N653" s="17">
        <f t="shared" si="97"/>
        <v>0</v>
      </c>
      <c r="O653" s="56"/>
    </row>
    <row r="654" spans="1:18" s="23" customFormat="1" ht="15" customHeight="1" x14ac:dyDescent="0.25">
      <c r="A654" s="26">
        <f>IF(K654="","",MAX(A$2:A653)+1)</f>
        <v>164</v>
      </c>
      <c r="B654" s="14"/>
      <c r="C654" s="42" t="s">
        <v>196</v>
      </c>
      <c r="G654" s="22"/>
      <c r="H654" s="22"/>
      <c r="I654" s="22"/>
      <c r="J654" s="47"/>
      <c r="K654" s="88" t="s">
        <v>10</v>
      </c>
      <c r="L654" s="17">
        <v>1</v>
      </c>
      <c r="M654" s="22"/>
      <c r="N654" s="17">
        <f t="shared" si="97"/>
        <v>0</v>
      </c>
      <c r="O654" s="56"/>
    </row>
    <row r="655" spans="1:18" s="23" customFormat="1" ht="13.15" customHeight="1" x14ac:dyDescent="0.25">
      <c r="A655" s="26" t="str">
        <f>IF(K655="","",MAX(A$2:A654)+1)</f>
        <v/>
      </c>
      <c r="B655" s="14"/>
      <c r="C655" s="43"/>
      <c r="G655" s="22"/>
      <c r="H655" s="22"/>
      <c r="I655" s="22"/>
      <c r="J655" s="47"/>
      <c r="K655" s="88"/>
      <c r="L655" s="17"/>
      <c r="M655" s="22"/>
      <c r="N655" s="17">
        <f t="shared" si="97"/>
        <v>0</v>
      </c>
      <c r="O655" s="56"/>
      <c r="P655" s="94"/>
    </row>
    <row r="656" spans="1:18" ht="34.9" customHeight="1" x14ac:dyDescent="0.25">
      <c r="A656" s="26" t="str">
        <f>IF(K656="","",MAX(A$2:A655)+1)</f>
        <v/>
      </c>
      <c r="B656" s="14"/>
      <c r="C656" s="112" t="s">
        <v>37</v>
      </c>
      <c r="D656" s="100"/>
      <c r="E656" s="100"/>
      <c r="F656" s="100"/>
      <c r="G656" s="100"/>
      <c r="H656" s="100"/>
      <c r="I656" s="100"/>
      <c r="J656" s="101"/>
      <c r="K656" s="88"/>
      <c r="L656" s="16"/>
      <c r="M656" s="102"/>
      <c r="N656" s="17">
        <f t="shared" si="97"/>
        <v>0</v>
      </c>
      <c r="O656" s="56"/>
    </row>
    <row r="657" spans="1:15" ht="15" customHeight="1" x14ac:dyDescent="0.25">
      <c r="A657" s="26" t="str">
        <f>IF(K657="","",MAX(A$2:A656)+1)</f>
        <v/>
      </c>
      <c r="B657" s="14" t="s">
        <v>14</v>
      </c>
      <c r="C657" s="21" t="s">
        <v>38</v>
      </c>
      <c r="D657" s="23"/>
      <c r="E657" s="23"/>
      <c r="F657" s="23"/>
      <c r="G657" s="23"/>
      <c r="H657" s="23"/>
      <c r="I657" s="23"/>
      <c r="J657" s="47"/>
      <c r="K657" s="88"/>
      <c r="L657" s="17"/>
      <c r="M657" s="17"/>
      <c r="N657" s="17"/>
      <c r="O657" s="56"/>
    </row>
    <row r="658" spans="1:15" ht="22.9" customHeight="1" x14ac:dyDescent="0.25">
      <c r="A658" s="26" t="str">
        <f>IF(K658="","",MAX(A$2:A657)+1)</f>
        <v/>
      </c>
      <c r="B658" s="14"/>
      <c r="C658" s="231" t="s">
        <v>199</v>
      </c>
      <c r="D658" s="232"/>
      <c r="E658" s="232"/>
      <c r="F658" s="232"/>
      <c r="G658" s="232"/>
      <c r="H658" s="232"/>
      <c r="I658" s="232"/>
      <c r="J658" s="233"/>
      <c r="K658" s="88"/>
      <c r="L658" s="17"/>
      <c r="M658" s="17"/>
      <c r="N658" s="17">
        <f>+M658*L658</f>
        <v>0</v>
      </c>
      <c r="O658" s="56"/>
    </row>
    <row r="659" spans="1:15" ht="15" customHeight="1" x14ac:dyDescent="0.25">
      <c r="A659" s="26">
        <f>IF(K659="","",MAX(A$2:A658)+1)</f>
        <v>165</v>
      </c>
      <c r="B659" s="14"/>
      <c r="C659" s="123" t="s">
        <v>198</v>
      </c>
      <c r="D659" s="5"/>
      <c r="E659" s="5"/>
      <c r="F659" s="5"/>
      <c r="G659" s="5"/>
      <c r="H659" s="5"/>
      <c r="I659" s="5"/>
      <c r="J659" s="88"/>
      <c r="K659" s="88" t="s">
        <v>39</v>
      </c>
      <c r="L659" s="17">
        <f>L668</f>
        <v>744</v>
      </c>
      <c r="M659" s="17"/>
      <c r="N659" s="17">
        <f>+M659*L659</f>
        <v>0</v>
      </c>
      <c r="O659" s="56"/>
    </row>
    <row r="660" spans="1:15" ht="15" customHeight="1" x14ac:dyDescent="0.25">
      <c r="A660" s="26">
        <f>IF(K660="","",MAX(A$2:A659)+1)</f>
        <v>166</v>
      </c>
      <c r="B660" s="14"/>
      <c r="C660" s="123" t="s">
        <v>71</v>
      </c>
      <c r="D660" s="5"/>
      <c r="E660" s="5"/>
      <c r="F660" s="5"/>
      <c r="G660" s="5"/>
      <c r="H660" s="5"/>
      <c r="I660" s="5"/>
      <c r="J660" s="88"/>
      <c r="K660" s="88" t="s">
        <v>39</v>
      </c>
      <c r="L660" s="17">
        <v>32</v>
      </c>
      <c r="M660" s="17"/>
      <c r="N660" s="17">
        <f>+M660*L660</f>
        <v>0</v>
      </c>
      <c r="O660" s="56"/>
    </row>
    <row r="661" spans="1:15" ht="15" customHeight="1" x14ac:dyDescent="0.25">
      <c r="A661" s="26" t="str">
        <f>IF(K661="","",MAX(A$2:A660)+1)</f>
        <v/>
      </c>
      <c r="B661" s="14"/>
      <c r="C661" s="21"/>
      <c r="D661" s="5"/>
      <c r="E661" s="5"/>
      <c r="F661" s="5"/>
      <c r="G661" s="5"/>
      <c r="H661" s="5"/>
      <c r="I661" s="5"/>
      <c r="J661" s="88"/>
      <c r="K661" s="88"/>
      <c r="L661" s="17"/>
      <c r="M661" s="17"/>
      <c r="N661" s="17"/>
      <c r="O661" s="56"/>
    </row>
    <row r="662" spans="1:15" ht="15" customHeight="1" x14ac:dyDescent="0.25">
      <c r="A662" s="26" t="str">
        <f>IF(K662="","",MAX(A$2:A661)+1)</f>
        <v/>
      </c>
      <c r="B662" s="14" t="s">
        <v>16</v>
      </c>
      <c r="C662" s="21" t="s">
        <v>109</v>
      </c>
      <c r="D662" s="5"/>
      <c r="E662" s="5"/>
      <c r="F662" s="5"/>
      <c r="G662" s="5"/>
      <c r="H662" s="5"/>
      <c r="I662" s="5"/>
      <c r="J662" s="88"/>
      <c r="K662" s="88"/>
      <c r="L662" s="17"/>
      <c r="M662" s="17"/>
      <c r="N662" s="17">
        <f>+M662*L662</f>
        <v>0</v>
      </c>
      <c r="O662" s="56"/>
    </row>
    <row r="663" spans="1:15" ht="15" customHeight="1" x14ac:dyDescent="0.25">
      <c r="A663" s="26" t="str">
        <f>IF(K663="","",MAX(A$2:A662)+1)</f>
        <v/>
      </c>
      <c r="B663" s="14"/>
      <c r="C663" s="23" t="s">
        <v>200</v>
      </c>
      <c r="D663" s="5"/>
      <c r="E663" s="5"/>
      <c r="F663" s="5"/>
      <c r="G663" s="5"/>
      <c r="H663" s="5"/>
      <c r="I663" s="5"/>
      <c r="J663" s="88"/>
      <c r="K663" s="88"/>
      <c r="L663" s="17"/>
      <c r="M663" s="17"/>
      <c r="N663" s="17">
        <f t="shared" ref="N663:N688" si="98">+M663*L663</f>
        <v>0</v>
      </c>
      <c r="O663" s="56"/>
    </row>
    <row r="664" spans="1:15" ht="15" customHeight="1" x14ac:dyDescent="0.25">
      <c r="A664" s="26">
        <f>IF(K664="","",MAX(A$2:A663)+1)</f>
        <v>167</v>
      </c>
      <c r="B664" s="14"/>
      <c r="C664" s="123" t="s">
        <v>123</v>
      </c>
      <c r="D664" s="5"/>
      <c r="E664" s="5"/>
      <c r="F664" s="5"/>
      <c r="G664" s="5"/>
      <c r="H664" s="5"/>
      <c r="I664" s="5"/>
      <c r="J664" s="88"/>
      <c r="K664" s="88" t="s">
        <v>39</v>
      </c>
      <c r="L664" s="17">
        <f>L668</f>
        <v>744</v>
      </c>
      <c r="M664" s="17"/>
      <c r="N664" s="17">
        <f>+M664*L664</f>
        <v>0</v>
      </c>
      <c r="O664" s="124"/>
    </row>
    <row r="665" spans="1:15" ht="15" customHeight="1" x14ac:dyDescent="0.25">
      <c r="A665" s="26">
        <f>IF(K665="","",MAX(A$2:A664)+1)</f>
        <v>168</v>
      </c>
      <c r="B665" s="14"/>
      <c r="C665" s="123" t="s">
        <v>71</v>
      </c>
      <c r="D665" s="5"/>
      <c r="E665" s="5"/>
      <c r="F665" s="5"/>
      <c r="G665" s="5"/>
      <c r="H665" s="5"/>
      <c r="I665" s="5"/>
      <c r="J665" s="88"/>
      <c r="K665" s="88" t="s">
        <v>39</v>
      </c>
      <c r="L665" s="17">
        <f>L660</f>
        <v>32</v>
      </c>
      <c r="N665" s="17">
        <f>+M665*L665</f>
        <v>0</v>
      </c>
      <c r="O665" s="124"/>
    </row>
    <row r="666" spans="1:15" ht="15" customHeight="1" x14ac:dyDescent="0.25">
      <c r="A666" s="26" t="str">
        <f>IF(K666="","",MAX(A$2:A665)+1)</f>
        <v/>
      </c>
      <c r="B666" s="14"/>
      <c r="C666" s="43"/>
      <c r="D666" s="5"/>
      <c r="E666" s="5"/>
      <c r="F666" s="5"/>
      <c r="G666" s="5"/>
      <c r="H666" s="5"/>
      <c r="I666" s="5"/>
      <c r="J666" s="88"/>
      <c r="K666" s="88"/>
      <c r="L666" s="17"/>
      <c r="M666" s="6"/>
      <c r="N666" s="17">
        <f t="shared" si="98"/>
        <v>0</v>
      </c>
      <c r="O666" s="56"/>
    </row>
    <row r="667" spans="1:15" ht="15" customHeight="1" x14ac:dyDescent="0.25">
      <c r="A667" s="26" t="str">
        <f>IF(K667="","",MAX(A$2:A666)+1)</f>
        <v/>
      </c>
      <c r="B667" s="14" t="s">
        <v>17</v>
      </c>
      <c r="C667" s="21" t="s">
        <v>40</v>
      </c>
      <c r="D667" s="5"/>
      <c r="E667" s="5"/>
      <c r="F667" s="5"/>
      <c r="G667" s="5"/>
      <c r="H667" s="5"/>
      <c r="I667" s="5"/>
      <c r="J667" s="88"/>
      <c r="K667" s="88"/>
      <c r="L667" s="17"/>
      <c r="M667" s="17"/>
      <c r="N667" s="17">
        <f t="shared" si="98"/>
        <v>0</v>
      </c>
      <c r="O667" s="56"/>
    </row>
    <row r="668" spans="1:15" ht="15" customHeight="1" collapsed="1" x14ac:dyDescent="0.25">
      <c r="A668" s="26">
        <f>IF(K668="","",MAX(A$2:A667)+1)</f>
        <v>169</v>
      </c>
      <c r="B668" s="14"/>
      <c r="C668" s="23" t="s">
        <v>245</v>
      </c>
      <c r="D668" s="5"/>
      <c r="E668" s="5"/>
      <c r="F668" s="5"/>
      <c r="G668" s="5"/>
      <c r="H668" s="5"/>
      <c r="I668" s="5"/>
      <c r="J668" s="88"/>
      <c r="K668" s="88" t="s">
        <v>39</v>
      </c>
      <c r="L668" s="17">
        <f>ROUNDUP(I694*1.05,)</f>
        <v>744</v>
      </c>
      <c r="M668" s="17"/>
      <c r="N668" s="17">
        <f>+M668*L668</f>
        <v>0</v>
      </c>
      <c r="O668" s="56"/>
    </row>
    <row r="669" spans="1:15" s="119" customFormat="1" ht="13.15" hidden="1" customHeight="1" outlineLevel="1" x14ac:dyDescent="0.25">
      <c r="A669" s="26" t="str">
        <f>IF(K669="","",MAX(A$2:A668)+1)</f>
        <v/>
      </c>
      <c r="B669" s="205"/>
      <c r="C669" s="148" t="s">
        <v>292</v>
      </c>
      <c r="D669" s="149"/>
      <c r="E669" s="149"/>
      <c r="F669" s="149"/>
      <c r="G669" s="149"/>
      <c r="H669" s="149"/>
      <c r="I669" s="149"/>
      <c r="J669" s="150"/>
      <c r="K669" s="150"/>
      <c r="L669" s="118"/>
      <c r="M669" s="118"/>
      <c r="N669" s="118">
        <f>+M669*L669</f>
        <v>0</v>
      </c>
      <c r="O669" s="151"/>
    </row>
    <row r="670" spans="1:15" s="119" customFormat="1" ht="13.15" hidden="1" customHeight="1" outlineLevel="1" x14ac:dyDescent="0.25">
      <c r="A670" s="26" t="str">
        <f>IF(K670="","",MAX(A$2:A669)+1)</f>
        <v/>
      </c>
      <c r="B670" s="205"/>
      <c r="C670" s="152"/>
      <c r="D670" s="149"/>
      <c r="E670" s="153">
        <v>54</v>
      </c>
      <c r="F670" s="153" t="s">
        <v>11</v>
      </c>
      <c r="G670" s="153">
        <v>7.54</v>
      </c>
      <c r="H670" s="154" t="s">
        <v>12</v>
      </c>
      <c r="I670" s="153">
        <f>+G670*E670</f>
        <v>407.16</v>
      </c>
      <c r="J670" s="155"/>
      <c r="K670" s="150"/>
      <c r="L670" s="118"/>
      <c r="M670" s="118"/>
      <c r="N670" s="118"/>
      <c r="O670" s="156"/>
    </row>
    <row r="671" spans="1:15" s="119" customFormat="1" ht="13.15" hidden="1" customHeight="1" outlineLevel="1" x14ac:dyDescent="0.25">
      <c r="A671" s="26" t="str">
        <f>IF(K671="","",MAX(A$2:A670)+1)</f>
        <v/>
      </c>
      <c r="B671" s="205"/>
      <c r="C671" s="152" t="s">
        <v>58</v>
      </c>
      <c r="D671" s="149"/>
      <c r="E671" s="153">
        <v>-14</v>
      </c>
      <c r="F671" s="153" t="s">
        <v>11</v>
      </c>
      <c r="G671" s="153">
        <f>1.43*1.1+1.8*2.2+1.4*2.8</f>
        <v>9.4529999999999994</v>
      </c>
      <c r="H671" s="154" t="s">
        <v>12</v>
      </c>
      <c r="I671" s="153">
        <f>G671*E671</f>
        <v>-132.34199999999998</v>
      </c>
      <c r="J671" s="155"/>
      <c r="K671" s="150"/>
      <c r="L671" s="118"/>
      <c r="M671" s="118"/>
      <c r="N671" s="118">
        <f t="shared" si="98"/>
        <v>0</v>
      </c>
      <c r="O671" s="151"/>
    </row>
    <row r="672" spans="1:15" s="119" customFormat="1" ht="13.15" hidden="1" customHeight="1" outlineLevel="1" x14ac:dyDescent="0.25">
      <c r="A672" s="26" t="str">
        <f>IF(K672="","",MAX(A$2:A671)+1)</f>
        <v/>
      </c>
      <c r="B672" s="205"/>
      <c r="C672" s="152" t="s">
        <v>41</v>
      </c>
      <c r="D672" s="149"/>
      <c r="E672" s="153">
        <v>-1</v>
      </c>
      <c r="F672" s="153" t="s">
        <v>11</v>
      </c>
      <c r="G672" s="153">
        <f>1.2*0.7*4+3.5*0.7+3.3*0.7</f>
        <v>8.1199999999999992</v>
      </c>
      <c r="H672" s="154" t="s">
        <v>12</v>
      </c>
      <c r="I672" s="153">
        <f>+G672*E672</f>
        <v>-8.1199999999999992</v>
      </c>
      <c r="J672" s="155"/>
      <c r="K672" s="150"/>
      <c r="L672" s="118"/>
      <c r="M672" s="118"/>
      <c r="N672" s="118">
        <f t="shared" si="98"/>
        <v>0</v>
      </c>
      <c r="O672" s="151"/>
    </row>
    <row r="673" spans="1:15" s="119" customFormat="1" ht="13.15" hidden="1" customHeight="1" outlineLevel="1" x14ac:dyDescent="0.25">
      <c r="A673" s="26" t="str">
        <f>IF(K673="","",MAX(A$2:A672)+1)</f>
        <v/>
      </c>
      <c r="B673" s="205"/>
      <c r="J673" s="157"/>
      <c r="K673" s="150"/>
      <c r="L673" s="118"/>
      <c r="M673" s="118"/>
      <c r="N673" s="118">
        <f t="shared" si="98"/>
        <v>0</v>
      </c>
      <c r="O673" s="151"/>
    </row>
    <row r="674" spans="1:15" s="119" customFormat="1" ht="13.15" hidden="1" customHeight="1" outlineLevel="1" x14ac:dyDescent="0.25">
      <c r="A674" s="26" t="str">
        <f>IF(K674="","",MAX(A$2:A673)+1)</f>
        <v/>
      </c>
      <c r="B674" s="205"/>
      <c r="C674" s="148" t="s">
        <v>293</v>
      </c>
      <c r="D674" s="149"/>
      <c r="E674" s="149"/>
      <c r="F674" s="149"/>
      <c r="G674" s="149"/>
      <c r="H674" s="149"/>
      <c r="I674" s="149"/>
      <c r="J674" s="150"/>
      <c r="K674" s="150"/>
      <c r="L674" s="118"/>
      <c r="M674" s="118"/>
      <c r="N674" s="118">
        <f t="shared" ref="N674" si="99">+M674*L674</f>
        <v>0</v>
      </c>
      <c r="O674" s="151"/>
    </row>
    <row r="675" spans="1:15" s="119" customFormat="1" ht="13.15" hidden="1" customHeight="1" outlineLevel="1" x14ac:dyDescent="0.25">
      <c r="A675" s="26" t="str">
        <f>IF(K675="","",MAX(A$2:A674)+1)</f>
        <v/>
      </c>
      <c r="B675" s="205"/>
      <c r="C675" s="152" t="s">
        <v>65</v>
      </c>
      <c r="D675" s="149"/>
      <c r="E675" s="149"/>
      <c r="F675" s="149"/>
      <c r="G675" s="149"/>
      <c r="H675" s="149"/>
      <c r="I675" s="149"/>
      <c r="J675" s="150"/>
      <c r="K675" s="150"/>
      <c r="L675" s="118"/>
      <c r="M675" s="118"/>
      <c r="N675" s="118">
        <f>+M675*L675</f>
        <v>0</v>
      </c>
      <c r="O675" s="156"/>
    </row>
    <row r="676" spans="1:15" s="119" customFormat="1" ht="13.15" hidden="1" customHeight="1" outlineLevel="1" x14ac:dyDescent="0.25">
      <c r="A676" s="26" t="str">
        <f>IF(K676="","",MAX(A$2:A675)+1)</f>
        <v/>
      </c>
      <c r="B676" s="205"/>
      <c r="C676" s="158" t="s">
        <v>59</v>
      </c>
      <c r="D676" s="149"/>
      <c r="E676" s="153">
        <v>4.7</v>
      </c>
      <c r="F676" s="153" t="s">
        <v>11</v>
      </c>
      <c r="G676" s="153">
        <v>12.5</v>
      </c>
      <c r="H676" s="154" t="s">
        <v>12</v>
      </c>
      <c r="I676" s="153">
        <f>+G676*E676</f>
        <v>58.75</v>
      </c>
      <c r="J676" s="155"/>
      <c r="K676" s="150"/>
      <c r="L676" s="118"/>
      <c r="M676" s="118"/>
      <c r="N676" s="118">
        <f>+M676*L676</f>
        <v>0</v>
      </c>
    </row>
    <row r="677" spans="1:15" s="119" customFormat="1" ht="13.15" hidden="1" customHeight="1" outlineLevel="1" x14ac:dyDescent="0.25">
      <c r="A677" s="26" t="str">
        <f>IF(K677="","",MAX(A$2:A676)+1)</f>
        <v/>
      </c>
      <c r="B677" s="205"/>
      <c r="C677" s="158" t="s">
        <v>58</v>
      </c>
      <c r="D677" s="149"/>
      <c r="E677" s="153">
        <v>-3</v>
      </c>
      <c r="F677" s="153" t="s">
        <v>11</v>
      </c>
      <c r="G677" s="153">
        <f>1.8*0.5+1*2.15</f>
        <v>3.05</v>
      </c>
      <c r="H677" s="154" t="s">
        <v>12</v>
      </c>
      <c r="I677" s="153">
        <f>+G677*E677</f>
        <v>-9.1499999999999986</v>
      </c>
      <c r="J677" s="155"/>
      <c r="K677" s="150"/>
      <c r="L677" s="118"/>
      <c r="M677" s="118"/>
      <c r="N677" s="118">
        <f>+M677*L677</f>
        <v>0</v>
      </c>
    </row>
    <row r="678" spans="1:15" s="119" customFormat="1" ht="13.15" hidden="1" customHeight="1" outlineLevel="1" x14ac:dyDescent="0.25">
      <c r="A678" s="26" t="str">
        <f>IF(K678="","",MAX(A$2:A677)+1)</f>
        <v/>
      </c>
      <c r="B678" s="205"/>
      <c r="C678" s="152" t="s">
        <v>72</v>
      </c>
      <c r="D678" s="149"/>
      <c r="E678" s="153">
        <v>12.5</v>
      </c>
      <c r="F678" s="153" t="s">
        <v>11</v>
      </c>
      <c r="G678" s="153">
        <v>5.5</v>
      </c>
      <c r="H678" s="154" t="s">
        <v>12</v>
      </c>
      <c r="I678" s="153">
        <f>E678*G678</f>
        <v>68.75</v>
      </c>
      <c r="J678" s="155"/>
      <c r="K678" s="150"/>
      <c r="L678" s="118"/>
      <c r="M678" s="118"/>
      <c r="N678" s="118"/>
      <c r="O678" s="151"/>
    </row>
    <row r="679" spans="1:15" s="119" customFormat="1" ht="13.15" hidden="1" customHeight="1" outlineLevel="1" x14ac:dyDescent="0.25">
      <c r="A679" s="26" t="str">
        <f>IF(K679="","",MAX(A$2:A678)+1)</f>
        <v/>
      </c>
      <c r="B679" s="205"/>
      <c r="C679" s="158" t="s">
        <v>41</v>
      </c>
      <c r="D679" s="149"/>
      <c r="E679" s="153">
        <v>-1</v>
      </c>
      <c r="F679" s="153" t="s">
        <v>11</v>
      </c>
      <c r="G679" s="153">
        <f>1.25*0.7+0.5*0.5</f>
        <v>1.125</v>
      </c>
      <c r="H679" s="154" t="s">
        <v>12</v>
      </c>
      <c r="I679" s="153">
        <f>+G679*E679</f>
        <v>-1.125</v>
      </c>
      <c r="J679" s="155"/>
      <c r="K679" s="150"/>
      <c r="L679" s="118"/>
      <c r="M679" s="118"/>
      <c r="N679" s="118"/>
      <c r="O679" s="151"/>
    </row>
    <row r="680" spans="1:15" s="119" customFormat="1" ht="13.15" hidden="1" customHeight="1" outlineLevel="1" x14ac:dyDescent="0.25">
      <c r="A680" s="26" t="str">
        <f>IF(K680="","",MAX(A$2:A679)+1)</f>
        <v/>
      </c>
      <c r="B680" s="205"/>
      <c r="C680" s="152" t="s">
        <v>64</v>
      </c>
      <c r="D680" s="149"/>
      <c r="E680" s="153">
        <v>10.61</v>
      </c>
      <c r="F680" s="153" t="s">
        <v>11</v>
      </c>
      <c r="G680" s="153">
        <v>8</v>
      </c>
      <c r="H680" s="154" t="s">
        <v>12</v>
      </c>
      <c r="I680" s="153">
        <f>G680*E680</f>
        <v>84.88</v>
      </c>
      <c r="J680" s="155"/>
      <c r="K680" s="150"/>
      <c r="L680" s="118"/>
      <c r="M680" s="118"/>
      <c r="N680" s="118"/>
      <c r="O680" s="151"/>
    </row>
    <row r="681" spans="1:15" s="119" customFormat="1" ht="13.15" hidden="1" customHeight="1" outlineLevel="1" x14ac:dyDescent="0.25">
      <c r="A681" s="26" t="str">
        <f>IF(K681="","",MAX(A$2:A680)+1)</f>
        <v/>
      </c>
      <c r="B681" s="205"/>
      <c r="C681" s="158"/>
      <c r="D681" s="149"/>
      <c r="E681" s="153">
        <v>32</v>
      </c>
      <c r="F681" s="153" t="s">
        <v>11</v>
      </c>
      <c r="G681" s="153">
        <v>2.4</v>
      </c>
      <c r="H681" s="154" t="s">
        <v>12</v>
      </c>
      <c r="I681" s="153">
        <f>G681*E681</f>
        <v>76.8</v>
      </c>
      <c r="J681" s="155"/>
      <c r="K681" s="150"/>
      <c r="L681" s="118"/>
      <c r="M681" s="118"/>
      <c r="N681" s="118"/>
      <c r="O681" s="151"/>
    </row>
    <row r="682" spans="1:15" s="119" customFormat="1" ht="13.15" hidden="1" customHeight="1" outlineLevel="1" x14ac:dyDescent="0.25">
      <c r="A682" s="26" t="str">
        <f>IF(K682="","",MAX(A$2:A681)+1)</f>
        <v/>
      </c>
      <c r="B682" s="205"/>
      <c r="C682" s="158" t="s">
        <v>41</v>
      </c>
      <c r="D682" s="149"/>
      <c r="E682" s="153">
        <v>-1</v>
      </c>
      <c r="F682" s="153" t="s">
        <v>11</v>
      </c>
      <c r="G682" s="153">
        <f>1.25*0.7+1.5*0.7</f>
        <v>1.9249999999999998</v>
      </c>
      <c r="H682" s="154" t="s">
        <v>12</v>
      </c>
      <c r="I682" s="153">
        <f>+G682*E682</f>
        <v>-1.9249999999999998</v>
      </c>
      <c r="J682" s="155"/>
      <c r="K682" s="150"/>
      <c r="L682" s="118"/>
      <c r="M682" s="118"/>
      <c r="N682" s="118">
        <f t="shared" ref="N682" si="100">+M682*L682</f>
        <v>0</v>
      </c>
      <c r="O682" s="151"/>
    </row>
    <row r="683" spans="1:15" s="119" customFormat="1" ht="12.6" hidden="1" customHeight="1" outlineLevel="1" x14ac:dyDescent="0.25">
      <c r="A683" s="26" t="str">
        <f>IF(K683="","",MAX(A$2:A682)+1)</f>
        <v/>
      </c>
      <c r="B683" s="205"/>
      <c r="C683" s="42" t="s">
        <v>99</v>
      </c>
      <c r="D683" s="149"/>
      <c r="E683" s="153"/>
      <c r="F683" s="153"/>
      <c r="G683" s="153"/>
      <c r="H683" s="154" t="s">
        <v>12</v>
      </c>
      <c r="I683" s="153">
        <v>14</v>
      </c>
      <c r="J683" s="155"/>
      <c r="K683" s="150"/>
      <c r="L683" s="118"/>
      <c r="M683" s="118"/>
      <c r="N683" s="118"/>
      <c r="O683" s="151"/>
    </row>
    <row r="684" spans="1:15" s="119" customFormat="1" ht="13.15" hidden="1" customHeight="1" outlineLevel="1" x14ac:dyDescent="0.25">
      <c r="A684" s="26" t="str">
        <f>IF(K684="","",MAX(A$2:A683)+1)</f>
        <v/>
      </c>
      <c r="B684" s="205"/>
      <c r="C684" s="42" t="s">
        <v>201</v>
      </c>
      <c r="D684" s="149"/>
      <c r="E684" s="153"/>
      <c r="F684" s="153"/>
      <c r="G684" s="153"/>
      <c r="H684" s="154" t="s">
        <v>12</v>
      </c>
      <c r="I684" s="153">
        <v>18</v>
      </c>
      <c r="J684" s="155"/>
      <c r="K684" s="150"/>
      <c r="L684" s="118"/>
      <c r="M684" s="118"/>
      <c r="N684" s="118"/>
      <c r="O684" s="151"/>
    </row>
    <row r="685" spans="1:15" s="119" customFormat="1" ht="13.15" hidden="1" customHeight="1" outlineLevel="1" x14ac:dyDescent="0.25">
      <c r="A685" s="26" t="str">
        <f>IF(K685="","",MAX(A$2:A684)+1)</f>
        <v/>
      </c>
      <c r="B685" s="205"/>
      <c r="C685" s="158" t="s">
        <v>41</v>
      </c>
      <c r="D685" s="149"/>
      <c r="E685" s="153">
        <v>-1</v>
      </c>
      <c r="F685" s="153" t="s">
        <v>11</v>
      </c>
      <c r="G685" s="153">
        <f>1.1*0.7</f>
        <v>0.77</v>
      </c>
      <c r="H685" s="154" t="s">
        <v>12</v>
      </c>
      <c r="I685" s="153">
        <f>+G685*E685</f>
        <v>-0.77</v>
      </c>
      <c r="J685" s="155"/>
      <c r="K685" s="150"/>
      <c r="L685" s="118"/>
      <c r="M685" s="118"/>
      <c r="N685" s="118">
        <f t="shared" ref="N685" si="101">+M685*L685</f>
        <v>0</v>
      </c>
      <c r="O685" s="151"/>
    </row>
    <row r="686" spans="1:15" s="119" customFormat="1" ht="13.15" hidden="1" customHeight="1" outlineLevel="1" x14ac:dyDescent="0.25">
      <c r="A686" s="26" t="str">
        <f>IF(K686="","",MAX(A$2:A685)+1)</f>
        <v/>
      </c>
      <c r="B686" s="205"/>
      <c r="C686" s="152" t="s">
        <v>202</v>
      </c>
      <c r="D686" s="149"/>
      <c r="E686" s="153">
        <f>10.2+4.26</f>
        <v>14.459999999999999</v>
      </c>
      <c r="F686" s="153" t="s">
        <v>11</v>
      </c>
      <c r="G686" s="153">
        <f>5/2</f>
        <v>2.5</v>
      </c>
      <c r="H686" s="154" t="s">
        <v>12</v>
      </c>
      <c r="I686" s="153">
        <f>E686*G686</f>
        <v>36.15</v>
      </c>
      <c r="J686" s="155"/>
      <c r="K686" s="150"/>
      <c r="L686" s="118"/>
      <c r="M686" s="118"/>
      <c r="N686" s="118"/>
    </row>
    <row r="687" spans="1:15" s="119" customFormat="1" ht="13.15" hidden="1" customHeight="1" outlineLevel="1" x14ac:dyDescent="0.25">
      <c r="A687" s="26" t="str">
        <f>IF(K687="","",MAX(A$2:A686)+1)</f>
        <v/>
      </c>
      <c r="B687" s="205"/>
      <c r="C687" s="140">
        <v>1.66</v>
      </c>
      <c r="D687" s="159" t="s">
        <v>11</v>
      </c>
      <c r="E687" s="153">
        <v>7.18</v>
      </c>
      <c r="F687" s="153" t="s">
        <v>11</v>
      </c>
      <c r="G687" s="153">
        <f>5/2</f>
        <v>2.5</v>
      </c>
      <c r="H687" s="154" t="s">
        <v>12</v>
      </c>
      <c r="I687" s="153">
        <f>E687*G687*C687</f>
        <v>29.796999999999997</v>
      </c>
      <c r="J687" s="155"/>
      <c r="K687" s="150"/>
      <c r="L687" s="118"/>
      <c r="M687" s="118"/>
      <c r="N687" s="118">
        <f t="shared" si="98"/>
        <v>0</v>
      </c>
      <c r="O687" s="151"/>
    </row>
    <row r="688" spans="1:15" s="119" customFormat="1" ht="13.15" hidden="1" customHeight="1" outlineLevel="1" x14ac:dyDescent="0.25">
      <c r="A688" s="26" t="str">
        <f>IF(K688="","",MAX(A$2:A687)+1)</f>
        <v/>
      </c>
      <c r="B688" s="205"/>
      <c r="C688" s="160">
        <v>0.6</v>
      </c>
      <c r="D688" s="159" t="s">
        <v>11</v>
      </c>
      <c r="E688" s="153">
        <f>10.2+4.26</f>
        <v>14.459999999999999</v>
      </c>
      <c r="F688" s="153" t="s">
        <v>11</v>
      </c>
      <c r="G688" s="153">
        <f>5/2</f>
        <v>2.5</v>
      </c>
      <c r="H688" s="154" t="s">
        <v>12</v>
      </c>
      <c r="I688" s="153">
        <f>E688*G688*C688</f>
        <v>21.689999999999998</v>
      </c>
      <c r="J688" s="155"/>
      <c r="K688" s="150"/>
      <c r="L688" s="118"/>
      <c r="M688" s="118"/>
      <c r="N688" s="118">
        <f t="shared" si="98"/>
        <v>0</v>
      </c>
      <c r="O688" s="151"/>
    </row>
    <row r="689" spans="1:15" s="119" customFormat="1" ht="13.15" hidden="1" customHeight="1" outlineLevel="1" x14ac:dyDescent="0.25">
      <c r="A689" s="26" t="str">
        <f>IF(K689="","",MAX(A$2:A688)+1)</f>
        <v/>
      </c>
      <c r="B689" s="205"/>
      <c r="C689" s="152" t="s">
        <v>203</v>
      </c>
      <c r="D689" s="159"/>
      <c r="E689" s="153"/>
      <c r="F689" s="153"/>
      <c r="G689" s="153"/>
      <c r="H689" s="154"/>
      <c r="I689" s="153"/>
      <c r="J689" s="155"/>
      <c r="K689" s="150"/>
      <c r="L689" s="118"/>
      <c r="M689" s="118"/>
      <c r="N689" s="118"/>
      <c r="O689" s="151"/>
    </row>
    <row r="690" spans="1:15" s="119" customFormat="1" ht="13.15" hidden="1" customHeight="1" outlineLevel="1" x14ac:dyDescent="0.25">
      <c r="A690" s="26" t="str">
        <f>IF(K690="","",MAX(A$2:A689)+1)</f>
        <v/>
      </c>
      <c r="B690" s="205"/>
      <c r="C690" s="160">
        <v>1.6</v>
      </c>
      <c r="D690" s="159" t="s">
        <v>11</v>
      </c>
      <c r="E690" s="153">
        <f>2.66+7.4</f>
        <v>10.06</v>
      </c>
      <c r="F690" s="153" t="s">
        <v>11</v>
      </c>
      <c r="G690" s="153">
        <f>3.5/2</f>
        <v>1.75</v>
      </c>
      <c r="H690" s="154" t="s">
        <v>12</v>
      </c>
      <c r="I690" s="153">
        <f>G690*E690*C690</f>
        <v>28.168000000000003</v>
      </c>
      <c r="J690" s="155"/>
      <c r="K690" s="150"/>
      <c r="L690" s="118"/>
      <c r="M690" s="118"/>
      <c r="N690" s="118"/>
      <c r="O690" s="151"/>
    </row>
    <row r="691" spans="1:15" s="119" customFormat="1" ht="13.15" hidden="1" customHeight="1" outlineLevel="1" x14ac:dyDescent="0.25">
      <c r="A691" s="26" t="str">
        <f>IF(K691="","",MAX(A$2:A690)+1)</f>
        <v/>
      </c>
      <c r="B691" s="205"/>
      <c r="C691" s="140"/>
      <c r="D691" s="149"/>
      <c r="E691" s="153">
        <f>6.4</f>
        <v>6.4</v>
      </c>
      <c r="F691" s="153" t="s">
        <v>11</v>
      </c>
      <c r="G691" s="153">
        <f>3.5/2</f>
        <v>1.75</v>
      </c>
      <c r="H691" s="154" t="s">
        <v>12</v>
      </c>
      <c r="I691" s="153">
        <f>G691*E691</f>
        <v>11.200000000000001</v>
      </c>
      <c r="J691" s="155"/>
      <c r="K691" s="150"/>
      <c r="L691" s="118"/>
      <c r="M691" s="118"/>
      <c r="N691" s="118"/>
      <c r="O691" s="151"/>
    </row>
    <row r="692" spans="1:15" s="119" customFormat="1" ht="13.15" hidden="1" customHeight="1" outlineLevel="1" x14ac:dyDescent="0.25">
      <c r="A692" s="26" t="str">
        <f>IF(K692="","",MAX(A$2:A691)+1)</f>
        <v/>
      </c>
      <c r="B692" s="205"/>
      <c r="C692" s="140"/>
      <c r="D692" s="149"/>
      <c r="E692" s="153">
        <v>5.0599999999999996</v>
      </c>
      <c r="F692" s="153" t="s">
        <v>11</v>
      </c>
      <c r="G692" s="153">
        <f>3/2</f>
        <v>1.5</v>
      </c>
      <c r="H692" s="154" t="s">
        <v>12</v>
      </c>
      <c r="I692" s="153">
        <f>G692*E692</f>
        <v>7.59</v>
      </c>
      <c r="J692" s="155"/>
      <c r="K692" s="150"/>
      <c r="L692" s="118"/>
      <c r="M692" s="118"/>
      <c r="N692" s="118"/>
      <c r="O692" s="151"/>
    </row>
    <row r="693" spans="1:15" s="119" customFormat="1" ht="13.15" hidden="1" customHeight="1" outlineLevel="1" x14ac:dyDescent="0.25">
      <c r="A693" s="26" t="str">
        <f>IF(K693="","",MAX(A$2:A692)+1)</f>
        <v/>
      </c>
      <c r="B693" s="205"/>
      <c r="C693" s="152" t="s">
        <v>41</v>
      </c>
      <c r="D693" s="149"/>
      <c r="E693" s="153">
        <v>-1</v>
      </c>
      <c r="F693" s="153" t="s">
        <v>11</v>
      </c>
      <c r="G693" s="153">
        <f>0.55*0.7+1.25*0.7</f>
        <v>1.26</v>
      </c>
      <c r="H693" s="154" t="s">
        <v>12</v>
      </c>
      <c r="I693" s="153">
        <f>G693*E693</f>
        <v>-1.26</v>
      </c>
      <c r="J693" s="155"/>
      <c r="K693" s="150"/>
      <c r="L693" s="118"/>
      <c r="M693" s="118"/>
      <c r="N693" s="118"/>
      <c r="O693" s="151"/>
    </row>
    <row r="694" spans="1:15" s="119" customFormat="1" ht="13.15" hidden="1" customHeight="1" outlineLevel="1" x14ac:dyDescent="0.25">
      <c r="A694" s="26" t="str">
        <f>IF(K694="","",MAX(A$2:A693)+1)</f>
        <v/>
      </c>
      <c r="B694" s="205"/>
      <c r="C694" s="142"/>
      <c r="D694" s="149"/>
      <c r="E694" s="153"/>
      <c r="F694" s="153"/>
      <c r="G694" s="153"/>
      <c r="H694" s="154"/>
      <c r="I694" s="161">
        <f>SUM(I670:I693)</f>
        <v>708.24300000000017</v>
      </c>
      <c r="J694" s="155"/>
      <c r="K694" s="150"/>
      <c r="L694" s="118"/>
      <c r="M694" s="118"/>
      <c r="N694" s="118"/>
      <c r="O694" s="151"/>
    </row>
    <row r="695" spans="1:15" ht="15" customHeight="1" x14ac:dyDescent="0.25">
      <c r="A695" s="26" t="str">
        <f>IF(K695="","",MAX(A$2:A694)+1)</f>
        <v/>
      </c>
      <c r="B695" s="14"/>
      <c r="C695" s="48"/>
      <c r="D695" s="5"/>
      <c r="E695" s="41"/>
      <c r="F695" s="41"/>
      <c r="G695" s="41"/>
      <c r="H695" s="103"/>
      <c r="I695" s="103"/>
      <c r="J695" s="49"/>
      <c r="K695" s="88"/>
      <c r="L695" s="17"/>
      <c r="M695" s="17"/>
      <c r="N695" s="17"/>
    </row>
    <row r="696" spans="1:15" ht="15" customHeight="1" x14ac:dyDescent="0.25">
      <c r="A696" s="26" t="str">
        <f>IF(K696="","",MAX(A$2:A695)+1)</f>
        <v/>
      </c>
      <c r="B696" s="14" t="s">
        <v>18</v>
      </c>
      <c r="C696" s="21" t="s">
        <v>294</v>
      </c>
      <c r="D696" s="5"/>
      <c r="E696" s="5"/>
      <c r="F696" s="5"/>
      <c r="G696" s="5"/>
      <c r="H696" s="5"/>
      <c r="I696" s="5"/>
      <c r="J696" s="88"/>
      <c r="K696" s="88"/>
      <c r="L696" s="17"/>
      <c r="M696" s="17"/>
      <c r="N696" s="17">
        <f t="shared" ref="N696" si="102">+M696*L696</f>
        <v>0</v>
      </c>
      <c r="O696" s="56"/>
    </row>
    <row r="697" spans="1:15" ht="15" customHeight="1" x14ac:dyDescent="0.25">
      <c r="A697" s="26">
        <f>IF(K697="","",MAX(A$2:A696)+1)</f>
        <v>170</v>
      </c>
      <c r="B697" s="14"/>
      <c r="C697" s="23" t="s">
        <v>70</v>
      </c>
      <c r="D697" s="5"/>
      <c r="E697" s="5"/>
      <c r="F697" s="5"/>
      <c r="G697" s="5"/>
      <c r="H697" s="5"/>
      <c r="I697" s="5"/>
      <c r="J697" s="88"/>
      <c r="K697" s="88" t="s">
        <v>39</v>
      </c>
      <c r="L697" s="17">
        <f>L668</f>
        <v>744</v>
      </c>
      <c r="M697" s="17"/>
      <c r="N697" s="17">
        <f>+M697*L697</f>
        <v>0</v>
      </c>
      <c r="O697" s="56"/>
    </row>
    <row r="698" spans="1:15" ht="15" customHeight="1" x14ac:dyDescent="0.25">
      <c r="A698" s="26" t="str">
        <f>IF(K698="","",MAX(A$2:A697)+1)</f>
        <v/>
      </c>
      <c r="B698" s="14"/>
      <c r="C698" s="21"/>
      <c r="D698" s="5"/>
      <c r="E698" s="5"/>
      <c r="F698" s="5"/>
      <c r="G698" s="5"/>
      <c r="H698" s="5"/>
      <c r="I698" s="5"/>
      <c r="J698" s="88"/>
      <c r="K698" s="88"/>
      <c r="L698" s="17"/>
      <c r="M698" s="17"/>
      <c r="N698" s="17">
        <f t="shared" ref="N698" si="103">+M698*L698</f>
        <v>0</v>
      </c>
      <c r="O698" s="56"/>
    </row>
    <row r="699" spans="1:15" ht="15" customHeight="1" x14ac:dyDescent="0.25">
      <c r="A699" s="26" t="str">
        <f>IF(K699="","",MAX(A$2:A698)+1)</f>
        <v/>
      </c>
      <c r="B699" s="14" t="s">
        <v>19</v>
      </c>
      <c r="C699" s="21" t="s">
        <v>103</v>
      </c>
      <c r="D699" s="6"/>
      <c r="E699" s="5"/>
      <c r="F699" s="5"/>
      <c r="G699" s="5"/>
      <c r="H699" s="5"/>
      <c r="I699" s="5"/>
      <c r="J699" s="91"/>
      <c r="K699" s="88"/>
      <c r="L699" s="51"/>
      <c r="M699" s="17"/>
      <c r="N699" s="17">
        <f>+M699*L699</f>
        <v>0</v>
      </c>
      <c r="O699" s="56"/>
    </row>
    <row r="700" spans="1:15" ht="15" customHeight="1" x14ac:dyDescent="0.25">
      <c r="A700" s="26" t="str">
        <f>IF(K700="","",MAX(A$2:A699)+1)</f>
        <v/>
      </c>
      <c r="B700" s="14"/>
      <c r="C700" s="76" t="s">
        <v>274</v>
      </c>
      <c r="D700" s="6"/>
      <c r="E700" s="5"/>
      <c r="F700" s="5"/>
      <c r="G700" s="5"/>
      <c r="H700" s="5"/>
      <c r="I700" s="5"/>
      <c r="J700" s="88"/>
      <c r="K700" s="88"/>
      <c r="L700" s="51"/>
      <c r="M700" s="17"/>
      <c r="N700" s="17"/>
      <c r="O700" s="56"/>
    </row>
    <row r="701" spans="1:15" ht="15" customHeight="1" collapsed="1" x14ac:dyDescent="0.25">
      <c r="A701" s="26">
        <f>IF(K701="","",MAX(A$2:A700)+1)</f>
        <v>171</v>
      </c>
      <c r="B701" s="14"/>
      <c r="C701" s="42" t="s">
        <v>320</v>
      </c>
      <c r="D701" s="6"/>
      <c r="E701" s="22"/>
      <c r="F701" s="22"/>
      <c r="G701" s="22"/>
      <c r="H701" s="25"/>
      <c r="I701" s="25"/>
      <c r="J701" s="88"/>
      <c r="K701" s="88" t="s">
        <v>42</v>
      </c>
      <c r="L701" s="51">
        <f>ROUNDUP(I704,)</f>
        <v>2222</v>
      </c>
      <c r="M701" s="17"/>
      <c r="N701" s="17">
        <f>+M701*L701</f>
        <v>0</v>
      </c>
      <c r="O701" s="56"/>
    </row>
    <row r="702" spans="1:15" s="119" customFormat="1" ht="13.15" hidden="1" customHeight="1" outlineLevel="1" x14ac:dyDescent="0.25">
      <c r="A702" s="26" t="str">
        <f>IF(K702="","",MAX(A$2:A701)+1)</f>
        <v/>
      </c>
      <c r="B702" s="205"/>
      <c r="C702" s="142" t="s">
        <v>318</v>
      </c>
      <c r="E702" s="61"/>
      <c r="F702" s="61"/>
      <c r="G702" s="61"/>
      <c r="H702" s="62" t="s">
        <v>12</v>
      </c>
      <c r="I702" s="143">
        <v>45</v>
      </c>
      <c r="J702" s="155"/>
      <c r="K702" s="168"/>
      <c r="L702" s="118"/>
      <c r="M702" s="118"/>
      <c r="N702" s="118"/>
      <c r="O702" s="151"/>
    </row>
    <row r="703" spans="1:15" s="119" customFormat="1" ht="6.6" hidden="1" customHeight="1" outlineLevel="1" x14ac:dyDescent="0.25">
      <c r="A703" s="26" t="str">
        <f>IF(K703="","",MAX(A$2:A702)+1)</f>
        <v/>
      </c>
      <c r="B703" s="205"/>
      <c r="C703" s="152"/>
      <c r="E703" s="61"/>
      <c r="F703" s="61"/>
      <c r="G703" s="61"/>
      <c r="H703" s="62"/>
      <c r="I703" s="143"/>
      <c r="J703" s="155"/>
      <c r="K703" s="168"/>
      <c r="L703" s="118"/>
      <c r="M703" s="118"/>
      <c r="N703" s="118"/>
      <c r="O703" s="151"/>
    </row>
    <row r="704" spans="1:15" s="119" customFormat="1" ht="13.15" hidden="1" customHeight="1" outlineLevel="1" x14ac:dyDescent="0.25">
      <c r="A704" s="26" t="str">
        <f>IF(K704="","",MAX(A$2:A703)+1)</f>
        <v/>
      </c>
      <c r="B704" s="205"/>
      <c r="C704" s="169" t="s">
        <v>211</v>
      </c>
      <c r="D704" s="61" t="s">
        <v>11</v>
      </c>
      <c r="E704" s="61">
        <v>11.35</v>
      </c>
      <c r="F704" s="149" t="s">
        <v>11</v>
      </c>
      <c r="G704" s="153">
        <v>3</v>
      </c>
      <c r="H704" s="62" t="s">
        <v>12</v>
      </c>
      <c r="I704" s="143">
        <f>+I702*1.45*E704*G704</f>
        <v>2221.7624999999998</v>
      </c>
      <c r="J704" s="155"/>
      <c r="K704" s="150"/>
      <c r="L704" s="118"/>
      <c r="M704" s="118"/>
      <c r="N704" s="118">
        <f t="shared" ref="N704" si="104">+M704*L704</f>
        <v>0</v>
      </c>
      <c r="O704" s="151"/>
    </row>
    <row r="705" spans="1:15" ht="17.25" customHeight="1" x14ac:dyDescent="0.25">
      <c r="A705" s="26">
        <f>IF(K705="","",MAX(A$2:A704)+1)</f>
        <v>172</v>
      </c>
      <c r="B705" s="14"/>
      <c r="C705" s="133" t="s">
        <v>282</v>
      </c>
      <c r="D705" s="93"/>
      <c r="E705" s="93"/>
      <c r="F705" s="93"/>
      <c r="G705" s="93"/>
      <c r="H705" s="93"/>
      <c r="I705" s="93"/>
      <c r="J705" s="88"/>
      <c r="K705" s="88" t="s">
        <v>27</v>
      </c>
      <c r="L705" s="17">
        <v>35</v>
      </c>
      <c r="M705" s="17"/>
      <c r="N705" s="17">
        <f>+M705*L705</f>
        <v>0</v>
      </c>
      <c r="O705" s="56"/>
    </row>
    <row r="706" spans="1:15" ht="15" customHeight="1" x14ac:dyDescent="0.25">
      <c r="A706" s="26" t="str">
        <f>IF(K706="","",MAX(A$2:A705)+1)</f>
        <v/>
      </c>
      <c r="B706" s="14"/>
      <c r="C706" s="76" t="s">
        <v>319</v>
      </c>
      <c r="D706" s="22"/>
      <c r="E706" s="22"/>
      <c r="F706" s="25"/>
      <c r="G706" s="22"/>
      <c r="H706" s="25"/>
      <c r="I706" s="25"/>
      <c r="J706" s="58"/>
      <c r="K706" s="88"/>
      <c r="L706" s="17"/>
      <c r="M706" s="17"/>
      <c r="N706" s="17"/>
      <c r="O706" s="56"/>
    </row>
    <row r="707" spans="1:15" ht="15" customHeight="1" collapsed="1" x14ac:dyDescent="0.25">
      <c r="A707" s="26">
        <f>IF(K707="","",MAX(A$2:A706)+1)</f>
        <v>173</v>
      </c>
      <c r="B707" s="14"/>
      <c r="C707" s="42" t="s">
        <v>321</v>
      </c>
      <c r="D707" s="6"/>
      <c r="E707" s="22"/>
      <c r="F707" s="22"/>
      <c r="G707" s="22"/>
      <c r="H707" s="25"/>
      <c r="I707" s="25"/>
      <c r="J707" s="88"/>
      <c r="K707" s="88" t="s">
        <v>42</v>
      </c>
      <c r="L707" s="51">
        <f>ROUNDUP(I710,)</f>
        <v>1729</v>
      </c>
      <c r="M707" s="17"/>
      <c r="N707" s="17">
        <f>+M707*L707</f>
        <v>0</v>
      </c>
      <c r="O707" s="56"/>
    </row>
    <row r="708" spans="1:15" s="119" customFormat="1" ht="13.15" hidden="1" customHeight="1" outlineLevel="1" x14ac:dyDescent="0.25">
      <c r="A708" s="26" t="str">
        <f>IF(K708="","",MAX(A$2:A707)+1)</f>
        <v/>
      </c>
      <c r="B708" s="205"/>
      <c r="C708" s="142" t="s">
        <v>318</v>
      </c>
      <c r="E708" s="61"/>
      <c r="F708" s="61"/>
      <c r="G708" s="61"/>
      <c r="H708" s="62" t="s">
        <v>12</v>
      </c>
      <c r="I708" s="143">
        <v>35</v>
      </c>
      <c r="J708" s="155"/>
      <c r="K708" s="168"/>
      <c r="L708" s="118"/>
      <c r="M708" s="118"/>
      <c r="N708" s="118"/>
      <c r="O708" s="151"/>
    </row>
    <row r="709" spans="1:15" s="119" customFormat="1" ht="6.6" hidden="1" customHeight="1" outlineLevel="1" x14ac:dyDescent="0.25">
      <c r="A709" s="26" t="str">
        <f>IF(K709="","",MAX(A$2:A708)+1)</f>
        <v/>
      </c>
      <c r="B709" s="205"/>
      <c r="C709" s="148"/>
      <c r="E709" s="61"/>
      <c r="F709" s="61"/>
      <c r="G709" s="61"/>
      <c r="H709" s="62"/>
      <c r="I709" s="143"/>
      <c r="J709" s="155"/>
      <c r="K709" s="168"/>
      <c r="L709" s="118"/>
      <c r="M709" s="118"/>
      <c r="N709" s="118"/>
      <c r="O709" s="151"/>
    </row>
    <row r="710" spans="1:15" s="119" customFormat="1" ht="13.15" hidden="1" customHeight="1" outlineLevel="1" x14ac:dyDescent="0.25">
      <c r="A710" s="26" t="str">
        <f>IF(K710="","",MAX(A$2:A709)+1)</f>
        <v/>
      </c>
      <c r="B710" s="205"/>
      <c r="C710" s="169" t="s">
        <v>211</v>
      </c>
      <c r="D710" s="61" t="s">
        <v>11</v>
      </c>
      <c r="E710" s="61">
        <v>11.35</v>
      </c>
      <c r="F710" s="149" t="s">
        <v>11</v>
      </c>
      <c r="G710" s="153">
        <v>3</v>
      </c>
      <c r="H710" s="62" t="s">
        <v>12</v>
      </c>
      <c r="I710" s="143">
        <f>+I708*1.45*E710*G710</f>
        <v>1728.0374999999999</v>
      </c>
      <c r="J710" s="155"/>
      <c r="K710" s="150"/>
      <c r="L710" s="118"/>
      <c r="M710" s="118"/>
      <c r="N710" s="118">
        <f t="shared" ref="N710:N714" si="105">+M710*L710</f>
        <v>0</v>
      </c>
      <c r="O710" s="151"/>
    </row>
    <row r="711" spans="1:15" ht="17.25" customHeight="1" x14ac:dyDescent="0.25">
      <c r="A711" s="26">
        <f>IF(K711="","",MAX(A$2:A710)+1)</f>
        <v>174</v>
      </c>
      <c r="B711" s="14"/>
      <c r="C711" s="133" t="s">
        <v>282</v>
      </c>
      <c r="D711" s="93"/>
      <c r="E711" s="93"/>
      <c r="F711" s="93"/>
      <c r="G711" s="93"/>
      <c r="H711" s="93"/>
      <c r="I711" s="93"/>
      <c r="J711" s="88"/>
      <c r="K711" s="88" t="s">
        <v>27</v>
      </c>
      <c r="L711" s="17">
        <v>30</v>
      </c>
      <c r="M711" s="17"/>
      <c r="N711" s="17">
        <f>+M711*L711</f>
        <v>0</v>
      </c>
      <c r="O711" s="56"/>
    </row>
    <row r="712" spans="1:15" ht="15" customHeight="1" x14ac:dyDescent="0.25">
      <c r="A712" s="26" t="str">
        <f>IF(K712="","",MAX(A$2:A711)+1)</f>
        <v/>
      </c>
      <c r="B712" s="14"/>
      <c r="C712" s="21"/>
      <c r="D712" s="22"/>
      <c r="E712" s="22"/>
      <c r="F712" s="25"/>
      <c r="G712" s="22"/>
      <c r="H712" s="25"/>
      <c r="I712" s="25"/>
      <c r="J712" s="58"/>
      <c r="K712" s="88"/>
      <c r="L712" s="17"/>
      <c r="M712" s="17"/>
      <c r="N712" s="17">
        <f t="shared" si="105"/>
        <v>0</v>
      </c>
      <c r="O712" s="56"/>
    </row>
    <row r="713" spans="1:15" ht="15" customHeight="1" x14ac:dyDescent="0.25">
      <c r="A713" s="26" t="str">
        <f>IF(K713="","",MAX(A$2:A712)+1)</f>
        <v/>
      </c>
      <c r="B713" s="14" t="s">
        <v>20</v>
      </c>
      <c r="C713" s="21" t="s">
        <v>43</v>
      </c>
      <c r="D713" s="5"/>
      <c r="E713" s="5"/>
      <c r="F713" s="5"/>
      <c r="G713" s="6"/>
      <c r="H713" s="6"/>
      <c r="I713" s="6"/>
      <c r="J713" s="91"/>
      <c r="K713" s="88"/>
      <c r="L713" s="17"/>
      <c r="M713" s="17"/>
      <c r="N713" s="17">
        <f t="shared" si="105"/>
        <v>0</v>
      </c>
      <c r="O713" s="56"/>
    </row>
    <row r="714" spans="1:15" ht="22.9" customHeight="1" collapsed="1" x14ac:dyDescent="0.25">
      <c r="A714" s="26">
        <f>IF(K714="","",MAX(A$2:A713)+1)</f>
        <v>175</v>
      </c>
      <c r="B714" s="14"/>
      <c r="C714" s="231" t="s">
        <v>295</v>
      </c>
      <c r="D714" s="232"/>
      <c r="E714" s="232"/>
      <c r="F714" s="232"/>
      <c r="G714" s="232"/>
      <c r="H714" s="232"/>
      <c r="I714" s="232"/>
      <c r="J714" s="233"/>
      <c r="K714" s="88" t="s">
        <v>27</v>
      </c>
      <c r="L714" s="17">
        <f>ROUNDUP(I721,)</f>
        <v>153</v>
      </c>
      <c r="M714" s="17"/>
      <c r="N714" s="17">
        <f t="shared" si="105"/>
        <v>0</v>
      </c>
      <c r="O714" s="56"/>
    </row>
    <row r="715" spans="1:15" s="119" customFormat="1" ht="13.15" hidden="1" customHeight="1" outlineLevel="1" x14ac:dyDescent="0.25">
      <c r="A715" s="26" t="str">
        <f>IF(K715="","",MAX(A$2:A714)+1)</f>
        <v/>
      </c>
      <c r="B715" s="205"/>
      <c r="C715" s="141" t="s">
        <v>74</v>
      </c>
      <c r="D715" s="162"/>
      <c r="E715" s="149"/>
      <c r="F715" s="149"/>
      <c r="G715" s="149"/>
      <c r="H715" s="149" t="s">
        <v>12</v>
      </c>
      <c r="I715" s="61">
        <v>12.5</v>
      </c>
      <c r="J715" s="155"/>
      <c r="K715" s="150"/>
      <c r="L715" s="118"/>
      <c r="M715" s="118"/>
      <c r="N715" s="118">
        <f t="shared" ref="N715:N722" si="106">+M715*L715</f>
        <v>0</v>
      </c>
      <c r="O715" s="151"/>
    </row>
    <row r="716" spans="1:15" s="119" customFormat="1" ht="13.15" hidden="1" customHeight="1" outlineLevel="1" x14ac:dyDescent="0.25">
      <c r="A716" s="26" t="str">
        <f>IF(K716="","",MAX(A$2:A715)+1)</f>
        <v/>
      </c>
      <c r="B716" s="205"/>
      <c r="C716" s="141" t="s">
        <v>205</v>
      </c>
      <c r="D716" s="162"/>
      <c r="E716" s="149"/>
      <c r="F716" s="149"/>
      <c r="G716" s="149"/>
      <c r="H716" s="149" t="s">
        <v>12</v>
      </c>
      <c r="I716" s="61">
        <v>55</v>
      </c>
      <c r="J716" s="155"/>
      <c r="K716" s="150"/>
      <c r="L716" s="118"/>
      <c r="M716" s="118"/>
      <c r="N716" s="118">
        <f t="shared" si="106"/>
        <v>0</v>
      </c>
      <c r="O716" s="151"/>
    </row>
    <row r="717" spans="1:15" s="119" customFormat="1" ht="13.15" hidden="1" customHeight="1" outlineLevel="1" x14ac:dyDescent="0.25">
      <c r="A717" s="26" t="str">
        <f>IF(K717="","",MAX(A$2:A716)+1)</f>
        <v/>
      </c>
      <c r="B717" s="205"/>
      <c r="C717" s="141" t="s">
        <v>66</v>
      </c>
      <c r="D717" s="162"/>
      <c r="E717" s="149"/>
      <c r="F717" s="149"/>
      <c r="G717" s="149"/>
      <c r="H717" s="149" t="s">
        <v>12</v>
      </c>
      <c r="I717" s="61">
        <v>21</v>
      </c>
      <c r="J717" s="155"/>
      <c r="K717" s="150"/>
      <c r="L717" s="118"/>
      <c r="M717" s="118"/>
      <c r="N717" s="118"/>
      <c r="O717" s="151"/>
    </row>
    <row r="718" spans="1:15" s="119" customFormat="1" ht="13.15" hidden="1" customHeight="1" outlineLevel="1" x14ac:dyDescent="0.25">
      <c r="A718" s="26" t="str">
        <f>IF(K718="","",MAX(A$2:A717)+1)</f>
        <v/>
      </c>
      <c r="B718" s="205"/>
      <c r="C718" s="141" t="s">
        <v>44</v>
      </c>
      <c r="D718" s="162"/>
      <c r="E718" s="149">
        <v>5</v>
      </c>
      <c r="F718" s="149" t="s">
        <v>11</v>
      </c>
      <c r="G718" s="153">
        <v>2</v>
      </c>
      <c r="H718" s="163" t="s">
        <v>12</v>
      </c>
      <c r="I718" s="153">
        <f>E718*G718</f>
        <v>10</v>
      </c>
      <c r="J718" s="155"/>
      <c r="K718" s="150"/>
      <c r="L718" s="118"/>
      <c r="M718" s="118"/>
      <c r="N718" s="118">
        <f t="shared" si="106"/>
        <v>0</v>
      </c>
      <c r="O718" s="151"/>
    </row>
    <row r="719" spans="1:15" s="119" customFormat="1" ht="13.15" hidden="1" customHeight="1" outlineLevel="1" x14ac:dyDescent="0.25">
      <c r="A719" s="26" t="str">
        <f>IF(K719="","",MAX(A$2:A718)+1)</f>
        <v/>
      </c>
      <c r="B719" s="205"/>
      <c r="C719" s="141" t="s">
        <v>204</v>
      </c>
      <c r="D719" s="162"/>
      <c r="E719" s="149">
        <v>6</v>
      </c>
      <c r="F719" s="149" t="s">
        <v>11</v>
      </c>
      <c r="G719" s="153">
        <f>8*0.1</f>
        <v>0.8</v>
      </c>
      <c r="H719" s="163" t="s">
        <v>12</v>
      </c>
      <c r="I719" s="153">
        <f t="shared" ref="I719:I720" si="107">E719*G719</f>
        <v>4.8000000000000007</v>
      </c>
      <c r="J719" s="155"/>
      <c r="K719" s="150"/>
      <c r="L719" s="118"/>
      <c r="M719" s="118"/>
      <c r="N719" s="118"/>
      <c r="O719" s="151"/>
    </row>
    <row r="720" spans="1:15" s="119" customFormat="1" ht="13.15" hidden="1" customHeight="1" outlineLevel="1" x14ac:dyDescent="0.25">
      <c r="A720" s="26" t="str">
        <f>IF(K720="","",MAX(A$2:A719)+1)</f>
        <v/>
      </c>
      <c r="B720" s="205"/>
      <c r="C720" s="141"/>
      <c r="D720" s="162"/>
      <c r="E720" s="149">
        <f>14*2</f>
        <v>28</v>
      </c>
      <c r="F720" s="149" t="s">
        <v>11</v>
      </c>
      <c r="G720" s="153">
        <f>16*0.11</f>
        <v>1.76</v>
      </c>
      <c r="H720" s="163" t="s">
        <v>12</v>
      </c>
      <c r="I720" s="153">
        <f t="shared" si="107"/>
        <v>49.28</v>
      </c>
      <c r="J720" s="155"/>
      <c r="K720" s="150"/>
      <c r="L720" s="118"/>
      <c r="M720" s="118"/>
      <c r="N720" s="118"/>
      <c r="O720" s="151"/>
    </row>
    <row r="721" spans="1:15" s="119" customFormat="1" ht="13.15" hidden="1" customHeight="1" outlineLevel="1" x14ac:dyDescent="0.25">
      <c r="A721" s="26" t="str">
        <f>IF(K721="","",MAX(A$2:A720)+1)</f>
        <v/>
      </c>
      <c r="B721" s="205"/>
      <c r="C721" s="164"/>
      <c r="D721" s="162"/>
      <c r="E721" s="149"/>
      <c r="F721" s="149"/>
      <c r="G721" s="149"/>
      <c r="H721" s="149"/>
      <c r="I721" s="144">
        <f>SUM(I715:I720)</f>
        <v>152.57999999999998</v>
      </c>
      <c r="J721" s="155"/>
      <c r="K721" s="150"/>
      <c r="L721" s="118"/>
      <c r="M721" s="118"/>
      <c r="N721" s="118">
        <f t="shared" si="106"/>
        <v>0</v>
      </c>
      <c r="O721" s="151"/>
    </row>
    <row r="722" spans="1:15" ht="15" customHeight="1" x14ac:dyDescent="0.25">
      <c r="A722" s="26" t="str">
        <f>IF(K722="","",MAX(A$2:A721)+1)</f>
        <v/>
      </c>
      <c r="B722" s="14"/>
      <c r="C722" s="44"/>
      <c r="D722" s="48"/>
      <c r="E722" s="5"/>
      <c r="F722" s="5"/>
      <c r="G722" s="5"/>
      <c r="H722" s="5"/>
      <c r="I722" s="5"/>
      <c r="J722" s="58"/>
      <c r="K722" s="88"/>
      <c r="L722" s="17"/>
      <c r="M722" s="17"/>
      <c r="N722" s="17">
        <f t="shared" si="106"/>
        <v>0</v>
      </c>
      <c r="O722" s="56"/>
    </row>
    <row r="723" spans="1:15" ht="15" customHeight="1" x14ac:dyDescent="0.25">
      <c r="A723" s="26" t="str">
        <f>IF(K723="","",MAX(A$2:A722)+1)</f>
        <v/>
      </c>
      <c r="B723" s="14" t="s">
        <v>21</v>
      </c>
      <c r="C723" s="21" t="s">
        <v>296</v>
      </c>
      <c r="D723" s="5"/>
      <c r="E723" s="5"/>
      <c r="F723" s="5"/>
      <c r="G723" s="5"/>
      <c r="H723" s="5"/>
      <c r="I723" s="5"/>
      <c r="J723" s="88"/>
      <c r="K723" s="88"/>
      <c r="L723" s="17"/>
      <c r="M723" s="17"/>
      <c r="N723" s="17">
        <f t="shared" ref="N723:N734" si="108">+M723*L723</f>
        <v>0</v>
      </c>
      <c r="O723" s="56"/>
    </row>
    <row r="724" spans="1:15" ht="15" customHeight="1" x14ac:dyDescent="0.25">
      <c r="A724" s="26">
        <f>IF(K724="","",MAX(A$2:A723)+1)</f>
        <v>176</v>
      </c>
      <c r="B724" s="14"/>
      <c r="C724" s="43" t="s">
        <v>131</v>
      </c>
      <c r="D724" s="93"/>
      <c r="E724" s="93"/>
      <c r="F724" s="93"/>
      <c r="G724" s="93"/>
      <c r="H724" s="93"/>
      <c r="I724" s="93"/>
      <c r="J724" s="83"/>
      <c r="K724" s="88" t="s">
        <v>27</v>
      </c>
      <c r="L724" s="17">
        <v>63</v>
      </c>
      <c r="M724" s="17"/>
      <c r="N724" s="17">
        <f t="shared" si="108"/>
        <v>0</v>
      </c>
      <c r="O724" s="56"/>
    </row>
    <row r="725" spans="1:15" ht="15" customHeight="1" x14ac:dyDescent="0.25">
      <c r="A725" s="26">
        <f>IF(K725="","",MAX(A$2:A724)+1)</f>
        <v>177</v>
      </c>
      <c r="B725" s="14"/>
      <c r="C725" s="43" t="s">
        <v>132</v>
      </c>
      <c r="D725" s="93"/>
      <c r="E725" s="93"/>
      <c r="F725" s="93"/>
      <c r="G725" s="93"/>
      <c r="H725" s="93"/>
      <c r="I725" s="93"/>
      <c r="J725" s="88"/>
      <c r="K725" s="88" t="s">
        <v>27</v>
      </c>
      <c r="L725" s="17">
        <f>L724</f>
        <v>63</v>
      </c>
      <c r="M725" s="17"/>
      <c r="N725" s="17">
        <f t="shared" si="108"/>
        <v>0</v>
      </c>
      <c r="O725" s="56"/>
    </row>
    <row r="726" spans="1:15" ht="15" customHeight="1" x14ac:dyDescent="0.25">
      <c r="A726" s="26">
        <f>IF(K726="","",MAX(A$2:A725)+1)</f>
        <v>178</v>
      </c>
      <c r="B726" s="14" t="s">
        <v>23</v>
      </c>
      <c r="C726" s="105" t="s">
        <v>133</v>
      </c>
      <c r="D726" s="93"/>
      <c r="E726" s="93"/>
      <c r="F726" s="93"/>
      <c r="G726" s="93"/>
      <c r="H726" s="93"/>
      <c r="I726" s="93"/>
      <c r="J726" s="88"/>
      <c r="K726" s="88" t="s">
        <v>60</v>
      </c>
      <c r="L726" s="54">
        <v>63</v>
      </c>
      <c r="M726" s="17"/>
      <c r="N726" s="17">
        <f t="shared" si="108"/>
        <v>0</v>
      </c>
      <c r="O726" s="56"/>
    </row>
    <row r="727" spans="1:15" ht="15" customHeight="1" x14ac:dyDescent="0.25">
      <c r="A727" s="26" t="str">
        <f>IF(K727="","",MAX(A$2:A726)+1)</f>
        <v/>
      </c>
      <c r="B727" s="14"/>
      <c r="C727" s="21"/>
      <c r="D727" s="5"/>
      <c r="E727" s="5"/>
      <c r="F727" s="5"/>
      <c r="G727" s="5"/>
      <c r="H727" s="5"/>
      <c r="I727" s="5"/>
      <c r="J727" s="88"/>
      <c r="K727" s="88"/>
      <c r="L727" s="17"/>
      <c r="M727" s="17"/>
      <c r="N727" s="17">
        <f t="shared" si="108"/>
        <v>0</v>
      </c>
      <c r="O727" s="56"/>
    </row>
    <row r="728" spans="1:15" ht="15" customHeight="1" x14ac:dyDescent="0.25">
      <c r="A728" s="26" t="str">
        <f>IF(K728="","",MAX(A$2:A727)+1)</f>
        <v/>
      </c>
      <c r="B728" s="14" t="s">
        <v>22</v>
      </c>
      <c r="C728" s="21" t="s">
        <v>390</v>
      </c>
      <c r="D728" s="5"/>
      <c r="E728" s="5"/>
      <c r="F728" s="5"/>
      <c r="G728" s="5"/>
      <c r="H728" s="5"/>
      <c r="I728" s="5"/>
      <c r="J728" s="88"/>
      <c r="K728" s="88"/>
      <c r="L728" s="17"/>
      <c r="M728" s="17"/>
      <c r="N728" s="17">
        <f t="shared" si="108"/>
        <v>0</v>
      </c>
      <c r="O728" s="56"/>
    </row>
    <row r="729" spans="1:15" ht="15" customHeight="1" x14ac:dyDescent="0.25">
      <c r="A729" s="26">
        <f>IF(K729="","",MAX(A$2:A728)+1)</f>
        <v>179</v>
      </c>
      <c r="B729" s="14"/>
      <c r="C729" s="23" t="s">
        <v>391</v>
      </c>
      <c r="D729" s="5"/>
      <c r="E729" s="5"/>
      <c r="F729" s="5"/>
      <c r="G729" s="5"/>
      <c r="H729" s="5"/>
      <c r="I729" s="5"/>
      <c r="J729" s="88"/>
      <c r="K729" s="88" t="s">
        <v>27</v>
      </c>
      <c r="L729" s="17">
        <v>21</v>
      </c>
      <c r="M729" s="17"/>
      <c r="N729" s="17">
        <f t="shared" si="108"/>
        <v>0</v>
      </c>
      <c r="O729" s="56"/>
    </row>
    <row r="730" spans="1:15" ht="15" customHeight="1" x14ac:dyDescent="0.25">
      <c r="A730" s="26" t="str">
        <f>IF(K730="","",MAX(A$2:A729)+1)</f>
        <v/>
      </c>
      <c r="B730" s="14"/>
      <c r="C730" s="21"/>
      <c r="D730" s="5"/>
      <c r="E730" s="5"/>
      <c r="F730" s="5"/>
      <c r="G730" s="5"/>
      <c r="H730" s="5"/>
      <c r="I730" s="5"/>
      <c r="J730" s="88"/>
      <c r="K730" s="88"/>
      <c r="L730" s="17"/>
      <c r="M730" s="17"/>
      <c r="N730" s="17">
        <f t="shared" si="108"/>
        <v>0</v>
      </c>
      <c r="O730" s="56"/>
    </row>
    <row r="731" spans="1:15" ht="15" customHeight="1" x14ac:dyDescent="0.25">
      <c r="A731" s="26" t="str">
        <f>IF(K731="","",MAX(A$2:A730)+1)</f>
        <v/>
      </c>
      <c r="B731" s="14" t="s">
        <v>375</v>
      </c>
      <c r="C731" s="21" t="s">
        <v>45</v>
      </c>
      <c r="D731" s="5"/>
      <c r="E731" s="5"/>
      <c r="F731" s="5"/>
      <c r="G731" s="5"/>
      <c r="H731" s="5"/>
      <c r="I731" s="5"/>
      <c r="J731" s="58"/>
      <c r="K731" s="88"/>
      <c r="L731" s="17"/>
      <c r="M731" s="17"/>
      <c r="N731" s="17">
        <f t="shared" si="108"/>
        <v>0</v>
      </c>
      <c r="O731" s="56"/>
    </row>
    <row r="732" spans="1:15" ht="25.15" customHeight="1" collapsed="1" x14ac:dyDescent="0.25">
      <c r="A732" s="26">
        <f>IF(K732="","",MAX(A$2:A731)+1)</f>
        <v>180</v>
      </c>
      <c r="B732" s="14"/>
      <c r="C732" s="240" t="s">
        <v>297</v>
      </c>
      <c r="D732" s="241"/>
      <c r="E732" s="241"/>
      <c r="F732" s="241"/>
      <c r="G732" s="241"/>
      <c r="H732" s="241"/>
      <c r="I732" s="241"/>
      <c r="J732" s="242"/>
      <c r="K732" s="88" t="s">
        <v>27</v>
      </c>
      <c r="L732" s="17">
        <f>ROUNDUP(I736,)</f>
        <v>62</v>
      </c>
      <c r="M732" s="17"/>
      <c r="N732" s="17">
        <f>+M732*L732</f>
        <v>0</v>
      </c>
      <c r="O732" s="56"/>
    </row>
    <row r="733" spans="1:15" s="119" customFormat="1" ht="13.15" hidden="1" customHeight="1" outlineLevel="1" x14ac:dyDescent="0.25">
      <c r="A733" s="26" t="str">
        <f>IF(K733="","",MAX(A$2:A732)+1)</f>
        <v/>
      </c>
      <c r="B733" s="205"/>
      <c r="C733" s="152" t="s">
        <v>104</v>
      </c>
      <c r="D733" s="162"/>
      <c r="E733" s="149"/>
      <c r="F733" s="149"/>
      <c r="G733" s="149"/>
      <c r="H733" s="149" t="s">
        <v>12</v>
      </c>
      <c r="I733" s="61">
        <v>54</v>
      </c>
      <c r="J733" s="155"/>
      <c r="K733" s="150"/>
      <c r="L733" s="118"/>
      <c r="M733" s="118"/>
      <c r="N733" s="17">
        <f t="shared" si="108"/>
        <v>0</v>
      </c>
      <c r="O733" s="151"/>
    </row>
    <row r="734" spans="1:15" s="119" customFormat="1" ht="13.15" hidden="1" customHeight="1" outlineLevel="1" x14ac:dyDescent="0.25">
      <c r="A734" s="26" t="str">
        <f>IF(K734="","",MAX(A$2:A733)+1)</f>
        <v/>
      </c>
      <c r="B734" s="205"/>
      <c r="C734" s="152" t="s">
        <v>202</v>
      </c>
      <c r="D734" s="162"/>
      <c r="E734" s="149"/>
      <c r="F734" s="149"/>
      <c r="G734" s="149"/>
      <c r="H734" s="149" t="s">
        <v>12</v>
      </c>
      <c r="I734" s="61">
        <v>4.5</v>
      </c>
      <c r="J734" s="155"/>
      <c r="K734" s="150"/>
      <c r="L734" s="118"/>
      <c r="M734" s="118"/>
      <c r="N734" s="17">
        <f t="shared" si="108"/>
        <v>0</v>
      </c>
      <c r="O734" s="151"/>
    </row>
    <row r="735" spans="1:15" s="119" customFormat="1" ht="13.15" hidden="1" customHeight="1" outlineLevel="1" x14ac:dyDescent="0.25">
      <c r="A735" s="26" t="str">
        <f>IF(K735="","",MAX(A$2:A734)+1)</f>
        <v/>
      </c>
      <c r="B735" s="205"/>
      <c r="C735" s="152" t="s">
        <v>206</v>
      </c>
      <c r="D735" s="162"/>
      <c r="E735" s="149"/>
      <c r="F735" s="149"/>
      <c r="G735" s="149"/>
      <c r="H735" s="149" t="s">
        <v>12</v>
      </c>
      <c r="I735" s="61">
        <v>2.7</v>
      </c>
      <c r="J735" s="155"/>
      <c r="K735" s="150"/>
      <c r="L735" s="118"/>
      <c r="M735" s="118"/>
      <c r="N735" s="17">
        <f t="shared" ref="N735:N740" si="109">+M735*L735</f>
        <v>0</v>
      </c>
      <c r="O735" s="151"/>
    </row>
    <row r="736" spans="1:15" s="119" customFormat="1" ht="13.15" hidden="1" customHeight="1" outlineLevel="1" x14ac:dyDescent="0.25">
      <c r="A736" s="26" t="str">
        <f>IF(K736="","",MAX(A$2:A735)+1)</f>
        <v/>
      </c>
      <c r="B736" s="205"/>
      <c r="C736" s="164"/>
      <c r="D736" s="162"/>
      <c r="E736" s="149"/>
      <c r="F736" s="149"/>
      <c r="G736" s="149"/>
      <c r="H736" s="149"/>
      <c r="I736" s="144">
        <f>SUM(I733:I735)</f>
        <v>61.2</v>
      </c>
      <c r="J736" s="155"/>
      <c r="K736" s="150"/>
      <c r="L736" s="118"/>
      <c r="M736" s="118"/>
      <c r="N736" s="17">
        <f t="shared" si="109"/>
        <v>0</v>
      </c>
      <c r="O736" s="151"/>
    </row>
    <row r="737" spans="1:15" ht="25.15" customHeight="1" collapsed="1" x14ac:dyDescent="0.25">
      <c r="A737" s="26">
        <f>IF(K737="","",MAX(A$2:A736)+1)</f>
        <v>181</v>
      </c>
      <c r="B737" s="14"/>
      <c r="C737" s="240" t="s">
        <v>298</v>
      </c>
      <c r="D737" s="241"/>
      <c r="E737" s="241"/>
      <c r="F737" s="241"/>
      <c r="G737" s="241"/>
      <c r="H737" s="241"/>
      <c r="I737" s="241"/>
      <c r="J737" s="242"/>
      <c r="K737" s="88" t="s">
        <v>27</v>
      </c>
      <c r="L737" s="17">
        <v>11</v>
      </c>
      <c r="M737" s="17"/>
      <c r="N737" s="17">
        <f>+M737*L737</f>
        <v>0</v>
      </c>
      <c r="O737" s="165"/>
    </row>
    <row r="738" spans="1:15" s="119" customFormat="1" ht="13.15" hidden="1" customHeight="1" outlineLevel="1" x14ac:dyDescent="0.25">
      <c r="A738" s="26" t="str">
        <f>IF(K738="","",MAX(A$2:A737)+1)</f>
        <v/>
      </c>
      <c r="B738" s="205"/>
      <c r="C738" s="152" t="s">
        <v>207</v>
      </c>
      <c r="D738" s="162"/>
      <c r="E738" s="149"/>
      <c r="F738" s="149"/>
      <c r="G738" s="149"/>
      <c r="H738" s="149" t="s">
        <v>12</v>
      </c>
      <c r="I738" s="61">
        <v>5.6</v>
      </c>
      <c r="J738" s="155"/>
      <c r="K738" s="150"/>
      <c r="L738" s="118"/>
      <c r="M738" s="118"/>
      <c r="N738" s="17">
        <f t="shared" si="109"/>
        <v>0</v>
      </c>
      <c r="O738" s="151"/>
    </row>
    <row r="739" spans="1:15" s="119" customFormat="1" ht="13.15" hidden="1" customHeight="1" outlineLevel="1" x14ac:dyDescent="0.25">
      <c r="A739" s="26" t="str">
        <f>IF(K739="","",MAX(A$2:A738)+1)</f>
        <v/>
      </c>
      <c r="B739" s="205"/>
      <c r="C739" s="152" t="s">
        <v>208</v>
      </c>
      <c r="D739" s="162"/>
      <c r="E739" s="149"/>
      <c r="F739" s="149"/>
      <c r="G739" s="149"/>
      <c r="H739" s="149" t="s">
        <v>12</v>
      </c>
      <c r="I739" s="61">
        <v>4.7</v>
      </c>
      <c r="J739" s="155"/>
      <c r="K739" s="150"/>
      <c r="L739" s="118"/>
      <c r="M739" s="118"/>
      <c r="N739" s="17">
        <f t="shared" si="109"/>
        <v>0</v>
      </c>
      <c r="O739" s="151"/>
    </row>
    <row r="740" spans="1:15" s="119" customFormat="1" ht="13.15" hidden="1" customHeight="1" outlineLevel="1" x14ac:dyDescent="0.25">
      <c r="A740" s="26" t="str">
        <f>IF(K740="","",MAX(A$2:A739)+1)</f>
        <v/>
      </c>
      <c r="B740" s="205"/>
      <c r="C740" s="164"/>
      <c r="D740" s="162"/>
      <c r="E740" s="149"/>
      <c r="F740" s="149"/>
      <c r="G740" s="149"/>
      <c r="H740" s="149"/>
      <c r="I740" s="144">
        <f>SUM(I738:I739)</f>
        <v>10.3</v>
      </c>
      <c r="J740" s="155"/>
      <c r="K740" s="150"/>
      <c r="L740" s="118"/>
      <c r="M740" s="118"/>
      <c r="N740" s="17">
        <f t="shared" si="109"/>
        <v>0</v>
      </c>
      <c r="O740" s="151"/>
    </row>
    <row r="741" spans="1:15" ht="15" customHeight="1" x14ac:dyDescent="0.25">
      <c r="A741" s="26" t="str">
        <f>IF(K741="","",MAX(A$2:A740)+1)</f>
        <v/>
      </c>
      <c r="B741" s="14"/>
      <c r="C741" s="21"/>
      <c r="D741" s="5"/>
      <c r="E741" s="5"/>
      <c r="F741" s="5"/>
      <c r="G741" s="5"/>
      <c r="H741" s="5"/>
      <c r="I741" s="5"/>
      <c r="J741" s="88"/>
      <c r="K741" s="88"/>
      <c r="L741" s="17"/>
      <c r="M741" s="17"/>
      <c r="N741" s="17">
        <f>+M741*L741</f>
        <v>0</v>
      </c>
      <c r="O741" s="56"/>
    </row>
    <row r="742" spans="1:15" ht="15" customHeight="1" x14ac:dyDescent="0.25">
      <c r="A742" s="26" t="str">
        <f>IF(K742="","",MAX(A$2:A741)+1)</f>
        <v/>
      </c>
      <c r="B742" s="14" t="s">
        <v>375</v>
      </c>
      <c r="C742" s="21" t="s">
        <v>57</v>
      </c>
      <c r="D742" s="5"/>
      <c r="E742" s="5"/>
      <c r="F742" s="5"/>
      <c r="G742" s="5"/>
      <c r="H742" s="5"/>
      <c r="I742" s="5"/>
      <c r="J742" s="88"/>
      <c r="K742" s="88"/>
      <c r="L742" s="54"/>
      <c r="M742" s="17"/>
      <c r="N742" s="17"/>
      <c r="O742" s="165"/>
    </row>
    <row r="743" spans="1:15" ht="15" customHeight="1" collapsed="1" x14ac:dyDescent="0.25">
      <c r="A743" s="26">
        <f>IF(K743="","",MAX(A$2:A742)+1)</f>
        <v>182</v>
      </c>
      <c r="B743" s="14"/>
      <c r="C743" s="23" t="s">
        <v>209</v>
      </c>
      <c r="D743" s="5"/>
      <c r="E743" s="5"/>
      <c r="F743" s="5"/>
      <c r="G743" s="5"/>
      <c r="H743" s="5"/>
      <c r="I743" s="5"/>
      <c r="J743" s="88"/>
      <c r="K743" s="88" t="s">
        <v>15</v>
      </c>
      <c r="L743" s="54">
        <f>I746</f>
        <v>2</v>
      </c>
      <c r="M743" s="17"/>
      <c r="N743" s="17">
        <f>+M743*L743</f>
        <v>0</v>
      </c>
      <c r="O743" s="56"/>
    </row>
    <row r="744" spans="1:15" s="119" customFormat="1" ht="13.15" hidden="1" customHeight="1" outlineLevel="1" x14ac:dyDescent="0.25">
      <c r="A744" s="26" t="str">
        <f>IF(K744="","",MAX(A$2:A743)+1)</f>
        <v/>
      </c>
      <c r="B744" s="205"/>
      <c r="C744" s="152" t="s">
        <v>210</v>
      </c>
      <c r="D744" s="162"/>
      <c r="E744" s="149"/>
      <c r="F744" s="149"/>
      <c r="G744" s="149"/>
      <c r="H744" s="149" t="s">
        <v>12</v>
      </c>
      <c r="I744" s="166">
        <v>2</v>
      </c>
      <c r="J744" s="155"/>
      <c r="K744" s="150"/>
      <c r="L744" s="118"/>
      <c r="M744" s="118"/>
      <c r="N744" s="17">
        <f t="shared" ref="N744:N749" si="110">+M744*L744</f>
        <v>0</v>
      </c>
      <c r="O744" s="151"/>
    </row>
    <row r="745" spans="1:15" s="119" customFormat="1" ht="13.15" hidden="1" customHeight="1" outlineLevel="1" x14ac:dyDescent="0.25">
      <c r="A745" s="26" t="str">
        <f>IF(K745="","",MAX(A$2:A744)+1)</f>
        <v/>
      </c>
      <c r="B745" s="205"/>
      <c r="C745" s="152" t="s">
        <v>203</v>
      </c>
      <c r="D745" s="162"/>
      <c r="E745" s="149"/>
      <c r="F745" s="149"/>
      <c r="G745" s="149"/>
      <c r="H745" s="149" t="s">
        <v>12</v>
      </c>
      <c r="I745" s="166" t="s">
        <v>106</v>
      </c>
      <c r="J745" s="155"/>
      <c r="K745" s="150"/>
      <c r="L745" s="118"/>
      <c r="M745" s="118"/>
      <c r="N745" s="17">
        <f t="shared" si="110"/>
        <v>0</v>
      </c>
      <c r="O745" s="151"/>
    </row>
    <row r="746" spans="1:15" s="119" customFormat="1" ht="13.15" hidden="1" customHeight="1" outlineLevel="1" x14ac:dyDescent="0.25">
      <c r="A746" s="26" t="str">
        <f>IF(K746="","",MAX(A$2:A745)+1)</f>
        <v/>
      </c>
      <c r="B746" s="205"/>
      <c r="C746" s="164"/>
      <c r="D746" s="162"/>
      <c r="E746" s="149"/>
      <c r="F746" s="149"/>
      <c r="G746" s="149"/>
      <c r="H746" s="149"/>
      <c r="I746" s="167">
        <f>SUM(I744:I745)</f>
        <v>2</v>
      </c>
      <c r="J746" s="155"/>
      <c r="K746" s="150"/>
      <c r="L746" s="118"/>
      <c r="M746" s="118"/>
      <c r="N746" s="17">
        <f t="shared" si="110"/>
        <v>0</v>
      </c>
      <c r="O746" s="151"/>
    </row>
    <row r="747" spans="1:15" ht="15" customHeight="1" x14ac:dyDescent="0.25">
      <c r="A747" s="26" t="str">
        <f>IF(K747="","",MAX(A$2:A746)+1)</f>
        <v/>
      </c>
      <c r="B747" s="14"/>
      <c r="C747" s="93"/>
      <c r="D747" s="93"/>
      <c r="E747" s="93"/>
      <c r="F747" s="93"/>
      <c r="G747" s="93"/>
      <c r="H747" s="93"/>
      <c r="I747" s="93"/>
      <c r="J747" s="83"/>
      <c r="K747" s="88"/>
      <c r="L747" s="17"/>
      <c r="M747" s="17"/>
      <c r="N747" s="17">
        <f t="shared" si="110"/>
        <v>0</v>
      </c>
      <c r="O747" s="56"/>
    </row>
    <row r="748" spans="1:15" ht="15" customHeight="1" x14ac:dyDescent="0.25">
      <c r="A748" s="26" t="str">
        <f>IF(K748="","",MAX(A$2:A747)+1)</f>
        <v/>
      </c>
      <c r="B748" s="14" t="s">
        <v>24</v>
      </c>
      <c r="C748" s="21" t="s">
        <v>73</v>
      </c>
      <c r="D748" s="5"/>
      <c r="E748" s="5"/>
      <c r="F748" s="5"/>
      <c r="G748" s="5"/>
      <c r="H748" s="5"/>
      <c r="I748" s="5"/>
      <c r="J748" s="88"/>
      <c r="K748" s="88"/>
      <c r="L748" s="17"/>
      <c r="M748" s="17"/>
      <c r="N748" s="17">
        <f t="shared" si="110"/>
        <v>0</v>
      </c>
      <c r="O748" s="56"/>
    </row>
    <row r="749" spans="1:15" ht="15" customHeight="1" x14ac:dyDescent="0.25">
      <c r="A749" s="26">
        <f>IF(K749="","",MAX(A$2:A748)+1)</f>
        <v>183</v>
      </c>
      <c r="B749" s="14"/>
      <c r="C749" s="231" t="s">
        <v>149</v>
      </c>
      <c r="D749" s="232"/>
      <c r="E749" s="232"/>
      <c r="F749" s="232"/>
      <c r="G749" s="232"/>
      <c r="H749" s="232"/>
      <c r="I749" s="232"/>
      <c r="J749" s="233"/>
      <c r="K749" s="88" t="s">
        <v>27</v>
      </c>
      <c r="L749" s="17">
        <v>16</v>
      </c>
      <c r="M749" s="17"/>
      <c r="N749" s="17">
        <f t="shared" si="110"/>
        <v>0</v>
      </c>
      <c r="O749" s="56"/>
    </row>
    <row r="750" spans="1:15" ht="15" customHeight="1" x14ac:dyDescent="0.25">
      <c r="A750" s="26" t="str">
        <f>IF(K750="","",MAX(A$2:A749)+1)</f>
        <v/>
      </c>
      <c r="B750" s="14"/>
      <c r="C750" s="21"/>
      <c r="D750" s="5"/>
      <c r="E750" s="23"/>
      <c r="F750" s="5"/>
      <c r="G750" s="5"/>
      <c r="H750" s="5"/>
      <c r="I750" s="5"/>
      <c r="J750" s="88"/>
      <c r="K750" s="88"/>
      <c r="L750" s="51"/>
      <c r="M750" s="17"/>
      <c r="N750" s="17">
        <f t="shared" ref="N750:N751" si="111">+M750*L750</f>
        <v>0</v>
      </c>
      <c r="O750" s="56"/>
    </row>
    <row r="751" spans="1:15" ht="15" customHeight="1" x14ac:dyDescent="0.25">
      <c r="A751" s="26" t="str">
        <f>IF(K751="","",MAX(A$2:A750)+1)</f>
        <v/>
      </c>
      <c r="B751" s="14" t="s">
        <v>25</v>
      </c>
      <c r="C751" s="21" t="s">
        <v>301</v>
      </c>
      <c r="D751" s="5"/>
      <c r="E751" s="5"/>
      <c r="F751" s="23"/>
      <c r="G751" s="5"/>
      <c r="H751" s="5"/>
      <c r="I751" s="5"/>
      <c r="J751" s="88"/>
      <c r="K751" s="88"/>
      <c r="L751" s="17"/>
      <c r="M751" s="17"/>
      <c r="N751" s="17">
        <f t="shared" si="111"/>
        <v>0</v>
      </c>
      <c r="O751" s="56"/>
    </row>
    <row r="752" spans="1:15" ht="15" customHeight="1" collapsed="1" x14ac:dyDescent="0.25">
      <c r="A752" s="26">
        <f>IF(K752="","",MAX(A$2:A751)+1)</f>
        <v>184</v>
      </c>
      <c r="B752" s="14"/>
      <c r="C752" s="23" t="s">
        <v>302</v>
      </c>
      <c r="D752" s="5"/>
      <c r="E752" s="5"/>
      <c r="F752" s="5"/>
      <c r="G752" s="5"/>
      <c r="H752" s="5"/>
      <c r="I752" s="5"/>
      <c r="J752" s="88"/>
      <c r="K752" s="88" t="s">
        <v>27</v>
      </c>
      <c r="L752" s="17">
        <f>I755</f>
        <v>38</v>
      </c>
      <c r="M752" s="17"/>
      <c r="N752" s="17">
        <f>+M752*L752</f>
        <v>0</v>
      </c>
      <c r="O752" s="56"/>
    </row>
    <row r="753" spans="1:15" s="119" customFormat="1" ht="13.15" hidden="1" customHeight="1" outlineLevel="1" x14ac:dyDescent="0.25">
      <c r="A753" s="26" t="str">
        <f>IF(K753="","",MAX(A$2:A752)+1)</f>
        <v/>
      </c>
      <c r="B753" s="205"/>
      <c r="C753" s="152" t="s">
        <v>210</v>
      </c>
      <c r="D753" s="162"/>
      <c r="E753" s="149"/>
      <c r="F753" s="149"/>
      <c r="G753" s="149"/>
      <c r="H753" s="149" t="s">
        <v>12</v>
      </c>
      <c r="I753" s="61">
        <f>5*4</f>
        <v>20</v>
      </c>
      <c r="J753" s="155"/>
      <c r="K753" s="150"/>
      <c r="L753" s="118"/>
      <c r="M753" s="118"/>
      <c r="N753" s="17">
        <f t="shared" ref="N753:N755" si="112">+M753*L753</f>
        <v>0</v>
      </c>
      <c r="O753" s="151"/>
    </row>
    <row r="754" spans="1:15" s="119" customFormat="1" ht="13.15" hidden="1" customHeight="1" outlineLevel="1" x14ac:dyDescent="0.25">
      <c r="A754" s="26" t="str">
        <f>IF(K754="","",MAX(A$2:A753)+1)</f>
        <v/>
      </c>
      <c r="B754" s="205"/>
      <c r="C754" s="152" t="s">
        <v>203</v>
      </c>
      <c r="D754" s="162"/>
      <c r="E754" s="149"/>
      <c r="F754" s="149"/>
      <c r="G754" s="149"/>
      <c r="H754" s="149" t="s">
        <v>12</v>
      </c>
      <c r="I754" s="61">
        <f>4.5*4</f>
        <v>18</v>
      </c>
      <c r="J754" s="155"/>
      <c r="K754" s="150"/>
      <c r="L754" s="118"/>
      <c r="M754" s="118"/>
      <c r="N754" s="17">
        <f t="shared" si="112"/>
        <v>0</v>
      </c>
      <c r="O754" s="151"/>
    </row>
    <row r="755" spans="1:15" s="119" customFormat="1" ht="13.15" hidden="1" customHeight="1" outlineLevel="1" x14ac:dyDescent="0.25">
      <c r="A755" s="26" t="str">
        <f>IF(K755="","",MAX(A$2:A754)+1)</f>
        <v/>
      </c>
      <c r="B755" s="205"/>
      <c r="C755" s="164"/>
      <c r="D755" s="162"/>
      <c r="E755" s="149"/>
      <c r="F755" s="149"/>
      <c r="G755" s="149"/>
      <c r="H755" s="149"/>
      <c r="I755" s="144">
        <f>SUM(I753:I754)</f>
        <v>38</v>
      </c>
      <c r="J755" s="155"/>
      <c r="K755" s="150"/>
      <c r="L755" s="118"/>
      <c r="M755" s="118"/>
      <c r="N755" s="17">
        <f t="shared" si="112"/>
        <v>0</v>
      </c>
      <c r="O755" s="151"/>
    </row>
    <row r="756" spans="1:15" ht="15" customHeight="1" x14ac:dyDescent="0.25">
      <c r="A756" s="26" t="str">
        <f>IF(K756="","",MAX(A$2:A755)+1)</f>
        <v/>
      </c>
      <c r="B756" s="14"/>
      <c r="C756" s="50"/>
      <c r="D756" s="6"/>
      <c r="E756" s="5"/>
      <c r="F756" s="22"/>
      <c r="G756" s="22"/>
      <c r="H756" s="22"/>
      <c r="I756" s="22"/>
      <c r="J756" s="58"/>
      <c r="K756" s="88"/>
      <c r="L756" s="17"/>
      <c r="M756" s="17"/>
      <c r="N756" s="17"/>
      <c r="O756" s="56"/>
    </row>
    <row r="757" spans="1:15" ht="15" customHeight="1" x14ac:dyDescent="0.25">
      <c r="A757" s="26" t="str">
        <f>IF(K757="","",MAX(A$2:A756)+1)</f>
        <v/>
      </c>
      <c r="B757" s="14" t="s">
        <v>443</v>
      </c>
      <c r="C757" s="21" t="s">
        <v>392</v>
      </c>
      <c r="D757" s="5"/>
      <c r="E757" s="5"/>
      <c r="F757" s="5"/>
      <c r="G757" s="5"/>
      <c r="H757" s="5"/>
      <c r="I757" s="5"/>
      <c r="J757" s="88"/>
      <c r="K757" s="88"/>
      <c r="L757" s="17"/>
      <c r="M757" s="17"/>
      <c r="N757" s="17">
        <f>+M757*L757</f>
        <v>0</v>
      </c>
      <c r="O757" s="56"/>
    </row>
    <row r="758" spans="1:15" ht="15" customHeight="1" collapsed="1" x14ac:dyDescent="0.25">
      <c r="A758" s="26">
        <f>IF(K758="","",MAX(A$2:A757)+1)</f>
        <v>185</v>
      </c>
      <c r="B758" s="14"/>
      <c r="C758" s="23" t="s">
        <v>166</v>
      </c>
      <c r="D758" s="22"/>
      <c r="E758" s="22"/>
      <c r="F758" s="22"/>
      <c r="G758" s="22"/>
      <c r="H758" s="25"/>
      <c r="I758" s="25"/>
      <c r="J758" s="58"/>
      <c r="K758" s="88" t="s">
        <v>27</v>
      </c>
      <c r="L758" s="17">
        <f>I761</f>
        <v>22</v>
      </c>
      <c r="M758" s="17"/>
      <c r="N758" s="17">
        <f>+M758*L758</f>
        <v>0</v>
      </c>
      <c r="O758" s="56"/>
    </row>
    <row r="759" spans="1:15" s="119" customFormat="1" ht="13.15" hidden="1" customHeight="1" outlineLevel="1" x14ac:dyDescent="0.25">
      <c r="A759" s="26" t="str">
        <f>IF(K759="","",MAX(A$2:A758)+1)</f>
        <v/>
      </c>
      <c r="B759" s="205"/>
      <c r="C759" s="152" t="s">
        <v>207</v>
      </c>
      <c r="D759" s="162"/>
      <c r="E759" s="149"/>
      <c r="F759" s="149"/>
      <c r="G759" s="149"/>
      <c r="H759" s="149" t="s">
        <v>12</v>
      </c>
      <c r="I759" s="61">
        <f>3*4</f>
        <v>12</v>
      </c>
      <c r="J759" s="155"/>
      <c r="K759" s="150"/>
      <c r="L759" s="118"/>
      <c r="M759" s="118"/>
      <c r="N759" s="17">
        <f t="shared" ref="N759:N761" si="113">+M759*L759</f>
        <v>0</v>
      </c>
      <c r="O759" s="151"/>
    </row>
    <row r="760" spans="1:15" s="119" customFormat="1" ht="13.15" hidden="1" customHeight="1" outlineLevel="1" x14ac:dyDescent="0.25">
      <c r="A760" s="26" t="str">
        <f>IF(K760="","",MAX(A$2:A759)+1)</f>
        <v/>
      </c>
      <c r="B760" s="205"/>
      <c r="C760" s="152" t="s">
        <v>208</v>
      </c>
      <c r="D760" s="162"/>
      <c r="E760" s="149"/>
      <c r="F760" s="149"/>
      <c r="G760" s="149"/>
      <c r="H760" s="149" t="s">
        <v>12</v>
      </c>
      <c r="I760" s="61">
        <f>2.5*4</f>
        <v>10</v>
      </c>
      <c r="J760" s="155"/>
      <c r="K760" s="150"/>
      <c r="L760" s="118"/>
      <c r="M760" s="118"/>
      <c r="N760" s="17">
        <f t="shared" si="113"/>
        <v>0</v>
      </c>
      <c r="O760" s="151"/>
    </row>
    <row r="761" spans="1:15" s="119" customFormat="1" ht="13.15" hidden="1" customHeight="1" outlineLevel="1" x14ac:dyDescent="0.25">
      <c r="A761" s="26" t="str">
        <f>IF(K761="","",MAX(A$2:A760)+1)</f>
        <v/>
      </c>
      <c r="B761" s="205"/>
      <c r="C761" s="164"/>
      <c r="D761" s="162"/>
      <c r="E761" s="149"/>
      <c r="F761" s="149"/>
      <c r="G761" s="149"/>
      <c r="H761" s="149"/>
      <c r="I761" s="144">
        <f>SUM(I759:I760)</f>
        <v>22</v>
      </c>
      <c r="J761" s="155"/>
      <c r="K761" s="150"/>
      <c r="L761" s="118"/>
      <c r="M761" s="118"/>
      <c r="N761" s="17">
        <f t="shared" si="113"/>
        <v>0</v>
      </c>
      <c r="O761" s="151"/>
    </row>
    <row r="762" spans="1:15" ht="15" customHeight="1" x14ac:dyDescent="0.25">
      <c r="A762" s="26" t="str">
        <f>IF(K762="","",MAX(A$2:A761)+1)</f>
        <v/>
      </c>
      <c r="B762" s="14"/>
      <c r="C762" s="21"/>
      <c r="D762" s="5"/>
      <c r="E762" s="5"/>
      <c r="F762" s="5"/>
      <c r="G762" s="5"/>
      <c r="H762" s="5"/>
      <c r="I762" s="5"/>
      <c r="J762" s="88"/>
      <c r="K762" s="88"/>
      <c r="L762" s="17"/>
      <c r="M762" s="17"/>
      <c r="N762" s="17">
        <f t="shared" ref="N762:N767" si="114">+M762*L762</f>
        <v>0</v>
      </c>
      <c r="O762" s="56"/>
    </row>
    <row r="763" spans="1:15" ht="15" customHeight="1" x14ac:dyDescent="0.25">
      <c r="A763" s="26" t="str">
        <f>IF(K763="","",MAX(A$2:A762)+1)</f>
        <v/>
      </c>
      <c r="B763" s="14" t="s">
        <v>376</v>
      </c>
      <c r="C763" s="21" t="s">
        <v>101</v>
      </c>
      <c r="D763" s="22"/>
      <c r="E763" s="22"/>
      <c r="F763" s="25"/>
      <c r="G763" s="22"/>
      <c r="H763" s="25"/>
      <c r="I763" s="25"/>
      <c r="J763" s="58"/>
      <c r="K763" s="88"/>
      <c r="L763" s="17"/>
      <c r="M763" s="17"/>
      <c r="N763" s="17">
        <f t="shared" ref="N763" si="115">+M763*L763</f>
        <v>0</v>
      </c>
      <c r="O763" s="56"/>
    </row>
    <row r="764" spans="1:15" ht="24.6" customHeight="1" x14ac:dyDescent="0.25">
      <c r="A764" s="26">
        <f>IF(K764="","",MAX(A$2:A763)+1)</f>
        <v>186</v>
      </c>
      <c r="B764" s="14"/>
      <c r="C764" s="231" t="s">
        <v>102</v>
      </c>
      <c r="D764" s="232"/>
      <c r="E764" s="232"/>
      <c r="F764" s="232"/>
      <c r="G764" s="232"/>
      <c r="H764" s="232"/>
      <c r="I764" s="232"/>
      <c r="J764" s="233"/>
      <c r="K764" s="88" t="s">
        <v>27</v>
      </c>
      <c r="L764" s="17">
        <v>2</v>
      </c>
      <c r="M764" s="17"/>
      <c r="N764" s="17">
        <f>+M764*L764</f>
        <v>0</v>
      </c>
      <c r="O764" s="56"/>
    </row>
    <row r="765" spans="1:15" ht="15" customHeight="1" x14ac:dyDescent="0.25">
      <c r="A765" s="26">
        <f>IF(K765="","",MAX(A$2:A764)+1)</f>
        <v>187</v>
      </c>
      <c r="B765" s="14"/>
      <c r="C765" s="43" t="s">
        <v>212</v>
      </c>
      <c r="D765" s="22"/>
      <c r="E765" s="22"/>
      <c r="F765" s="25"/>
      <c r="G765" s="22"/>
      <c r="H765" s="25"/>
      <c r="I765" s="25"/>
      <c r="J765" s="58"/>
      <c r="K765" s="88" t="s">
        <v>10</v>
      </c>
      <c r="L765" s="17">
        <v>1</v>
      </c>
      <c r="M765" s="17"/>
      <c r="N765" s="17">
        <f t="shared" ref="N765" si="116">+M765*L765</f>
        <v>0</v>
      </c>
      <c r="O765" s="56"/>
    </row>
    <row r="766" spans="1:15" ht="15" customHeight="1" x14ac:dyDescent="0.25">
      <c r="A766" s="26" t="str">
        <f>IF(K766="","",MAX(A$2:A765)+1)</f>
        <v/>
      </c>
      <c r="B766" s="14"/>
      <c r="C766" s="21"/>
      <c r="D766" s="22"/>
      <c r="E766" s="22"/>
      <c r="F766" s="25"/>
      <c r="G766" s="22"/>
      <c r="H766" s="25"/>
      <c r="I766" s="25"/>
      <c r="J766" s="58"/>
      <c r="K766" s="88"/>
      <c r="L766" s="17"/>
      <c r="M766" s="17"/>
      <c r="N766" s="17"/>
      <c r="O766" s="56"/>
    </row>
    <row r="767" spans="1:15" ht="15" customHeight="1" x14ac:dyDescent="0.25">
      <c r="A767" s="26" t="str">
        <f>IF(K767="","",MAX(A$2:A766)+1)</f>
        <v/>
      </c>
      <c r="B767" s="14" t="s">
        <v>407</v>
      </c>
      <c r="C767" s="21" t="s">
        <v>47</v>
      </c>
      <c r="D767" s="5"/>
      <c r="E767" s="5"/>
      <c r="F767" s="5"/>
      <c r="G767" s="5"/>
      <c r="H767" s="5"/>
      <c r="I767" s="5"/>
      <c r="J767" s="88"/>
      <c r="K767" s="88"/>
      <c r="L767" s="17"/>
      <c r="M767" s="17"/>
      <c r="N767" s="17">
        <f t="shared" si="114"/>
        <v>0</v>
      </c>
      <c r="O767" s="56"/>
    </row>
    <row r="768" spans="1:15" ht="15" customHeight="1" x14ac:dyDescent="0.25">
      <c r="A768" s="26" t="str">
        <f>IF(K768="","",MAX(A$2:A767)+1)</f>
        <v/>
      </c>
      <c r="B768" s="14"/>
      <c r="C768" s="23" t="s">
        <v>166</v>
      </c>
      <c r="D768" s="5"/>
      <c r="E768" s="5"/>
      <c r="F768" s="5"/>
      <c r="G768" s="5"/>
      <c r="H768" s="125"/>
      <c r="I768" s="125"/>
      <c r="J768" s="88"/>
      <c r="K768" s="88"/>
      <c r="L768" s="17"/>
      <c r="M768" s="17"/>
      <c r="N768" s="17"/>
      <c r="O768" s="56"/>
    </row>
    <row r="769" spans="1:17" ht="23.45" customHeight="1" collapsed="1" x14ac:dyDescent="0.25">
      <c r="A769" s="26">
        <f>IF(K769="","",MAX(A$2:A768)+1)</f>
        <v>188</v>
      </c>
      <c r="B769" s="14"/>
      <c r="C769" s="240" t="s">
        <v>323</v>
      </c>
      <c r="D769" s="241"/>
      <c r="E769" s="241"/>
      <c r="F769" s="241"/>
      <c r="G769" s="241"/>
      <c r="H769" s="241"/>
      <c r="I769" s="241"/>
      <c r="J769" s="242"/>
      <c r="K769" s="88" t="s">
        <v>27</v>
      </c>
      <c r="L769" s="17">
        <f>ROUNDUP(I776,)</f>
        <v>34</v>
      </c>
      <c r="M769" s="17"/>
      <c r="N769" s="17">
        <f>+M769*L769</f>
        <v>0</v>
      </c>
      <c r="O769" s="56"/>
    </row>
    <row r="770" spans="1:17" s="203" customFormat="1" ht="13.15" hidden="1" customHeight="1" outlineLevel="1" x14ac:dyDescent="0.25">
      <c r="A770" s="26" t="str">
        <f>IF(K770="","",MAX(A$2:A769)+1)</f>
        <v/>
      </c>
      <c r="B770" s="207"/>
      <c r="C770" s="152" t="s">
        <v>331</v>
      </c>
      <c r="D770" s="152"/>
      <c r="E770" s="152"/>
      <c r="F770" s="152"/>
      <c r="G770" s="152"/>
      <c r="H770" s="149" t="s">
        <v>12</v>
      </c>
      <c r="I770" s="153">
        <v>4.7</v>
      </c>
      <c r="J770" s="200"/>
      <c r="K770" s="200"/>
      <c r="L770" s="201"/>
      <c r="M770" s="201"/>
      <c r="N770" s="17">
        <f t="shared" ref="N770:N777" si="117">+M770*L770</f>
        <v>0</v>
      </c>
      <c r="O770" s="202"/>
    </row>
    <row r="771" spans="1:17" s="203" customFormat="1" ht="13.15" hidden="1" customHeight="1" outlineLevel="1" x14ac:dyDescent="0.25">
      <c r="A771" s="26" t="str">
        <f>IF(K771="","",MAX(A$2:A770)+1)</f>
        <v/>
      </c>
      <c r="B771" s="207"/>
      <c r="C771" s="152" t="s">
        <v>335</v>
      </c>
      <c r="D771" s="152"/>
      <c r="E771" s="152"/>
      <c r="F771" s="152"/>
      <c r="G771" s="152"/>
      <c r="H771" s="149" t="s">
        <v>12</v>
      </c>
      <c r="I771" s="153">
        <v>8</v>
      </c>
      <c r="J771" s="200"/>
      <c r="K771" s="200"/>
      <c r="L771" s="201"/>
      <c r="M771" s="201"/>
      <c r="N771" s="17">
        <f t="shared" si="117"/>
        <v>0</v>
      </c>
      <c r="O771" s="202"/>
    </row>
    <row r="772" spans="1:17" s="203" customFormat="1" ht="13.15" hidden="1" customHeight="1" outlineLevel="1" x14ac:dyDescent="0.25">
      <c r="A772" s="26" t="str">
        <f>IF(K772="","",MAX(A$2:A771)+1)</f>
        <v/>
      </c>
      <c r="B772" s="207"/>
      <c r="C772" s="152" t="s">
        <v>332</v>
      </c>
      <c r="D772" s="152"/>
      <c r="E772" s="152"/>
      <c r="F772" s="152"/>
      <c r="G772" s="152"/>
      <c r="H772" s="149" t="s">
        <v>12</v>
      </c>
      <c r="I772" s="153">
        <f>5.2+2.9</f>
        <v>8.1</v>
      </c>
      <c r="J772" s="200"/>
      <c r="K772" s="200"/>
      <c r="L772" s="201"/>
      <c r="M772" s="201"/>
      <c r="N772" s="17">
        <f t="shared" si="117"/>
        <v>0</v>
      </c>
      <c r="O772" s="202"/>
    </row>
    <row r="773" spans="1:17" s="203" customFormat="1" ht="13.15" hidden="1" customHeight="1" outlineLevel="1" x14ac:dyDescent="0.25">
      <c r="A773" s="26" t="str">
        <f>IF(K773="","",MAX(A$2:A772)+1)</f>
        <v/>
      </c>
      <c r="B773" s="207"/>
      <c r="C773" s="152" t="s">
        <v>333</v>
      </c>
      <c r="D773" s="152"/>
      <c r="E773" s="152"/>
      <c r="F773" s="152"/>
      <c r="G773" s="152"/>
      <c r="H773" s="149" t="s">
        <v>12</v>
      </c>
      <c r="I773" s="153">
        <v>2.42</v>
      </c>
      <c r="J773" s="200"/>
      <c r="K773" s="200"/>
      <c r="L773" s="201"/>
      <c r="M773" s="201"/>
      <c r="N773" s="17">
        <f t="shared" si="117"/>
        <v>0</v>
      </c>
      <c r="O773" s="202"/>
    </row>
    <row r="774" spans="1:17" s="203" customFormat="1" ht="13.15" hidden="1" customHeight="1" outlineLevel="1" x14ac:dyDescent="0.25">
      <c r="A774" s="26" t="str">
        <f>IF(K774="","",MAX(A$2:A773)+1)</f>
        <v/>
      </c>
      <c r="B774" s="207"/>
      <c r="C774" s="152" t="s">
        <v>334</v>
      </c>
      <c r="D774" s="152"/>
      <c r="E774" s="152"/>
      <c r="F774" s="152"/>
      <c r="G774" s="152"/>
      <c r="H774" s="149" t="s">
        <v>12</v>
      </c>
      <c r="I774" s="153">
        <v>4.8</v>
      </c>
      <c r="J774" s="200"/>
      <c r="K774" s="200"/>
      <c r="L774" s="201"/>
      <c r="M774" s="201"/>
      <c r="N774" s="17">
        <f t="shared" si="117"/>
        <v>0</v>
      </c>
      <c r="O774" s="202"/>
    </row>
    <row r="775" spans="1:17" s="203" customFormat="1" ht="13.15" hidden="1" customHeight="1" outlineLevel="1" x14ac:dyDescent="0.25">
      <c r="A775" s="26" t="str">
        <f>IF(K775="","",MAX(A$2:A774)+1)</f>
        <v/>
      </c>
      <c r="B775" s="207"/>
      <c r="C775" s="152" t="s">
        <v>387</v>
      </c>
      <c r="D775" s="152"/>
      <c r="E775" s="152"/>
      <c r="F775" s="152"/>
      <c r="G775" s="152"/>
      <c r="H775" s="149" t="s">
        <v>12</v>
      </c>
      <c r="I775" s="153">
        <f>2.85+2.5</f>
        <v>5.35</v>
      </c>
      <c r="J775" s="200"/>
      <c r="K775" s="200"/>
      <c r="L775" s="201"/>
      <c r="M775" s="201"/>
      <c r="N775" s="17">
        <f t="shared" si="117"/>
        <v>0</v>
      </c>
      <c r="O775" s="202"/>
    </row>
    <row r="776" spans="1:17" s="203" customFormat="1" ht="13.15" hidden="1" customHeight="1" outlineLevel="1" x14ac:dyDescent="0.25">
      <c r="A776" s="26" t="str">
        <f>IF(K776="","",MAX(A$2:A775)+1)</f>
        <v/>
      </c>
      <c r="B776" s="207"/>
      <c r="C776" s="152"/>
      <c r="D776" s="152"/>
      <c r="E776" s="152"/>
      <c r="F776" s="152"/>
      <c r="G776" s="152"/>
      <c r="H776" s="149"/>
      <c r="I776" s="161">
        <f>SUM(I770:I775)</f>
        <v>33.369999999999997</v>
      </c>
      <c r="J776" s="200"/>
      <c r="K776" s="200"/>
      <c r="L776" s="201"/>
      <c r="M776" s="201"/>
      <c r="N776" s="17">
        <f t="shared" si="117"/>
        <v>0</v>
      </c>
      <c r="O776" s="202"/>
    </row>
    <row r="777" spans="1:17" ht="15" customHeight="1" collapsed="1" x14ac:dyDescent="0.25">
      <c r="A777" s="26">
        <f>IF(K777="","",MAX(A$2:A776)+1)</f>
        <v>189</v>
      </c>
      <c r="B777" s="14"/>
      <c r="C777" s="43" t="s">
        <v>322</v>
      </c>
      <c r="D777" s="5"/>
      <c r="E777" s="5"/>
      <c r="F777" s="5"/>
      <c r="G777" s="5"/>
      <c r="H777" s="125"/>
      <c r="I777" s="125"/>
      <c r="J777" s="88"/>
      <c r="K777" s="88" t="s">
        <v>27</v>
      </c>
      <c r="L777" s="17">
        <f>I781</f>
        <v>18.100000000000001</v>
      </c>
      <c r="M777" s="17"/>
      <c r="N777" s="17">
        <f t="shared" si="117"/>
        <v>0</v>
      </c>
      <c r="O777" s="56"/>
    </row>
    <row r="778" spans="1:17" s="203" customFormat="1" ht="13.15" hidden="1" customHeight="1" outlineLevel="1" x14ac:dyDescent="0.25">
      <c r="A778" s="26" t="str">
        <f>IF(K778="","",MAX(A$2:A777)+1)</f>
        <v/>
      </c>
      <c r="B778" s="207"/>
      <c r="C778" s="152" t="s">
        <v>331</v>
      </c>
      <c r="D778" s="152"/>
      <c r="E778" s="152"/>
      <c r="F778" s="152"/>
      <c r="G778" s="152"/>
      <c r="H778" s="149" t="s">
        <v>12</v>
      </c>
      <c r="I778" s="153">
        <v>10</v>
      </c>
      <c r="J778" s="200"/>
      <c r="K778" s="200"/>
      <c r="L778" s="201"/>
      <c r="M778" s="201"/>
      <c r="N778" s="201"/>
      <c r="O778" s="202"/>
    </row>
    <row r="779" spans="1:17" s="203" customFormat="1" ht="13.15" hidden="1" customHeight="1" outlineLevel="1" x14ac:dyDescent="0.25">
      <c r="A779" s="26" t="str">
        <f>IF(K779="","",MAX(A$2:A778)+1)</f>
        <v/>
      </c>
      <c r="B779" s="207"/>
      <c r="C779" s="152" t="s">
        <v>332</v>
      </c>
      <c r="D779" s="152"/>
      <c r="E779" s="152"/>
      <c r="F779" s="152"/>
      <c r="G779" s="152"/>
      <c r="H779" s="149" t="s">
        <v>12</v>
      </c>
      <c r="I779" s="153">
        <f>5.2+2.9</f>
        <v>8.1</v>
      </c>
      <c r="J779" s="200"/>
      <c r="K779" s="200"/>
      <c r="L779" s="201"/>
      <c r="M779" s="201"/>
      <c r="N779" s="17">
        <f t="shared" ref="N779" si="118">+M779*L779</f>
        <v>0</v>
      </c>
      <c r="O779" s="202"/>
    </row>
    <row r="780" spans="1:17" s="203" customFormat="1" ht="8.4499999999999993" hidden="1" customHeight="1" outlineLevel="1" x14ac:dyDescent="0.25">
      <c r="A780" s="26" t="str">
        <f>IF(K780="","",MAX(A$2:A779)+1)</f>
        <v/>
      </c>
      <c r="B780" s="207"/>
      <c r="C780" s="152"/>
      <c r="D780" s="152"/>
      <c r="E780" s="152"/>
      <c r="F780" s="152"/>
      <c r="G780" s="152"/>
      <c r="H780" s="149"/>
      <c r="I780" s="153"/>
      <c r="J780" s="200"/>
      <c r="K780" s="200"/>
      <c r="L780" s="201"/>
      <c r="M780" s="201"/>
      <c r="N780" s="201"/>
      <c r="O780" s="202"/>
    </row>
    <row r="781" spans="1:17" s="203" customFormat="1" ht="13.15" hidden="1" customHeight="1" outlineLevel="1" x14ac:dyDescent="0.25">
      <c r="A781" s="26" t="str">
        <f>IF(K781="","",MAX(A$2:A780)+1)</f>
        <v/>
      </c>
      <c r="B781" s="207"/>
      <c r="C781" s="152"/>
      <c r="D781" s="152"/>
      <c r="E781" s="152"/>
      <c r="F781" s="152"/>
      <c r="G781" s="152"/>
      <c r="H781" s="149"/>
      <c r="I781" s="161">
        <f>SUM(I778:I780)</f>
        <v>18.100000000000001</v>
      </c>
      <c r="J781" s="200"/>
      <c r="K781" s="200"/>
      <c r="L781" s="201"/>
      <c r="M781" s="201"/>
      <c r="N781" s="201"/>
      <c r="O781" s="202"/>
    </row>
    <row r="782" spans="1:17" ht="15" customHeight="1" x14ac:dyDescent="0.25">
      <c r="A782" s="26" t="str">
        <f>IF(K782="","",MAX(A$2:A781)+1)</f>
        <v/>
      </c>
      <c r="B782" s="14"/>
      <c r="C782" s="21"/>
      <c r="D782" s="5"/>
      <c r="E782" s="5"/>
      <c r="F782" s="5"/>
      <c r="G782" s="5"/>
      <c r="H782" s="5"/>
      <c r="I782" s="5"/>
      <c r="J782" s="88"/>
      <c r="K782" s="88"/>
      <c r="L782" s="17"/>
      <c r="M782" s="17"/>
      <c r="N782" s="17">
        <f t="shared" ref="N782:N827" si="119">+M782*L782</f>
        <v>0</v>
      </c>
      <c r="O782" s="56"/>
      <c r="P782" s="199"/>
      <c r="Q782" s="199"/>
    </row>
    <row r="783" spans="1:17" ht="15" customHeight="1" x14ac:dyDescent="0.25">
      <c r="A783" s="26" t="str">
        <f>IF(K783="","",MAX(A$2:A782)+1)</f>
        <v/>
      </c>
      <c r="B783" s="14" t="s">
        <v>377</v>
      </c>
      <c r="C783" s="21" t="s">
        <v>61</v>
      </c>
      <c r="D783" s="5"/>
      <c r="E783" s="5"/>
      <c r="F783" s="5"/>
      <c r="G783" s="5"/>
      <c r="H783" s="5"/>
      <c r="I783" s="5"/>
      <c r="J783" s="88"/>
      <c r="K783" s="88"/>
      <c r="L783" s="17"/>
      <c r="M783" s="17"/>
      <c r="N783" s="17">
        <f t="shared" si="119"/>
        <v>0</v>
      </c>
      <c r="O783" s="56"/>
      <c r="P783" s="199"/>
      <c r="Q783" s="199"/>
    </row>
    <row r="784" spans="1:17" ht="15" customHeight="1" collapsed="1" x14ac:dyDescent="0.25">
      <c r="A784" s="26">
        <f>IF(K784="","",MAX(A$2:A783)+1)</f>
        <v>190</v>
      </c>
      <c r="B784" s="14"/>
      <c r="C784" s="23" t="s">
        <v>166</v>
      </c>
      <c r="D784" s="5"/>
      <c r="E784" s="5"/>
      <c r="F784" s="5"/>
      <c r="G784" s="5"/>
      <c r="H784" s="5"/>
      <c r="I784" s="5"/>
      <c r="J784" s="88"/>
      <c r="K784" s="88" t="s">
        <v>27</v>
      </c>
      <c r="L784" s="17">
        <f>ROUNDUP(I787,)</f>
        <v>19</v>
      </c>
      <c r="M784" s="17"/>
      <c r="N784" s="17">
        <f t="shared" si="119"/>
        <v>0</v>
      </c>
      <c r="O784" s="56"/>
    </row>
    <row r="785" spans="1:20" s="203" customFormat="1" ht="13.15" hidden="1" customHeight="1" outlineLevel="1" x14ac:dyDescent="0.25">
      <c r="A785" s="26" t="str">
        <f>IF(K785="","",MAX(A$2:A784)+1)</f>
        <v/>
      </c>
      <c r="B785" s="207"/>
      <c r="C785" s="152" t="s">
        <v>388</v>
      </c>
      <c r="D785" s="152"/>
      <c r="E785" s="152"/>
      <c r="F785" s="152"/>
      <c r="G785" s="152"/>
      <c r="H785" s="149" t="s">
        <v>12</v>
      </c>
      <c r="I785" s="153">
        <v>14</v>
      </c>
      <c r="J785" s="200"/>
      <c r="K785" s="200"/>
      <c r="L785" s="201"/>
      <c r="M785" s="201"/>
      <c r="N785" s="17">
        <f t="shared" si="119"/>
        <v>0</v>
      </c>
      <c r="O785" s="202"/>
    </row>
    <row r="786" spans="1:20" s="203" customFormat="1" ht="13.15" hidden="1" customHeight="1" outlineLevel="1" x14ac:dyDescent="0.25">
      <c r="A786" s="26" t="str">
        <f>IF(K786="","",MAX(A$2:A785)+1)</f>
        <v/>
      </c>
      <c r="B786" s="207"/>
      <c r="C786" s="152" t="s">
        <v>332</v>
      </c>
      <c r="D786" s="152"/>
      <c r="E786" s="152"/>
      <c r="F786" s="152"/>
      <c r="G786" s="152"/>
      <c r="H786" s="149" t="s">
        <v>12</v>
      </c>
      <c r="I786" s="153">
        <v>4.5</v>
      </c>
      <c r="J786" s="200"/>
      <c r="K786" s="200"/>
      <c r="L786" s="201"/>
      <c r="M786" s="201"/>
      <c r="N786" s="17">
        <f t="shared" si="119"/>
        <v>0</v>
      </c>
      <c r="O786" s="202"/>
    </row>
    <row r="787" spans="1:20" s="203" customFormat="1" ht="13.15" hidden="1" customHeight="1" outlineLevel="1" x14ac:dyDescent="0.25">
      <c r="A787" s="26" t="str">
        <f>IF(K787="","",MAX(A$2:A786)+1)</f>
        <v/>
      </c>
      <c r="B787" s="207"/>
      <c r="C787" s="152"/>
      <c r="D787" s="152"/>
      <c r="E787" s="152"/>
      <c r="F787" s="152"/>
      <c r="G787" s="152"/>
      <c r="H787" s="149"/>
      <c r="I787" s="161">
        <f>SUM(I785:I786)</f>
        <v>18.5</v>
      </c>
      <c r="J787" s="200"/>
      <c r="K787" s="200"/>
      <c r="L787" s="201"/>
      <c r="M787" s="201"/>
      <c r="N787" s="17">
        <f t="shared" si="119"/>
        <v>0</v>
      </c>
      <c r="O787" s="202"/>
    </row>
    <row r="788" spans="1:20" ht="15" customHeight="1" x14ac:dyDescent="0.25">
      <c r="A788" s="26" t="str">
        <f>IF(K788="","",MAX(A$2:A787)+1)</f>
        <v/>
      </c>
      <c r="B788" s="14"/>
      <c r="C788" s="21"/>
      <c r="D788" s="5"/>
      <c r="E788" s="5"/>
      <c r="F788" s="5"/>
      <c r="G788" s="5"/>
      <c r="H788" s="5"/>
      <c r="I788" s="5"/>
      <c r="J788" s="88"/>
      <c r="K788" s="88"/>
      <c r="L788" s="17"/>
      <c r="M788" s="17"/>
      <c r="N788" s="17">
        <f t="shared" si="119"/>
        <v>0</v>
      </c>
      <c r="O788" s="56"/>
    </row>
    <row r="789" spans="1:20" ht="15" customHeight="1" x14ac:dyDescent="0.25">
      <c r="A789" s="26" t="str">
        <f>IF(K789="","",MAX(A$2:A788)+1)</f>
        <v/>
      </c>
      <c r="B789" s="14" t="s">
        <v>378</v>
      </c>
      <c r="C789" s="21" t="s">
        <v>344</v>
      </c>
      <c r="D789" s="5"/>
      <c r="E789" s="5"/>
      <c r="F789" s="5"/>
      <c r="G789" s="5"/>
      <c r="H789" s="5"/>
      <c r="I789" s="5"/>
      <c r="J789" s="88"/>
      <c r="K789" s="88"/>
      <c r="L789" s="17"/>
      <c r="M789" s="17"/>
      <c r="N789" s="17">
        <f t="shared" si="119"/>
        <v>0</v>
      </c>
      <c r="O789" s="56"/>
    </row>
    <row r="790" spans="1:20" ht="15" customHeight="1" x14ac:dyDescent="0.25">
      <c r="A790" s="26" t="str">
        <f>IF(K790="","",MAX(A$2:A789)+1)</f>
        <v/>
      </c>
      <c r="B790" s="14"/>
      <c r="C790" s="84" t="s">
        <v>52</v>
      </c>
      <c r="D790" s="48"/>
      <c r="E790" s="48"/>
      <c r="F790" s="48"/>
      <c r="G790" s="48"/>
      <c r="H790" s="48"/>
      <c r="I790" s="48"/>
      <c r="J790" s="111"/>
      <c r="K790" s="88"/>
      <c r="L790" s="17"/>
      <c r="M790" s="17"/>
      <c r="N790" s="17">
        <f t="shared" si="119"/>
        <v>0</v>
      </c>
    </row>
    <row r="791" spans="1:20" ht="15" customHeight="1" collapsed="1" x14ac:dyDescent="0.25">
      <c r="A791" s="26">
        <f>IF(K791="","",MAX(A$2:A790)+1)</f>
        <v>191</v>
      </c>
      <c r="B791" s="14"/>
      <c r="C791" s="43" t="s">
        <v>50</v>
      </c>
      <c r="D791" s="5"/>
      <c r="E791" s="5"/>
      <c r="F791" s="5"/>
      <c r="G791" s="5"/>
      <c r="H791" s="5"/>
      <c r="I791" s="5"/>
      <c r="J791" s="88"/>
      <c r="K791" s="88" t="s">
        <v>15</v>
      </c>
      <c r="L791" s="54">
        <f>I805</f>
        <v>13</v>
      </c>
      <c r="M791" s="17"/>
      <c r="N791" s="17">
        <f t="shared" si="119"/>
        <v>0</v>
      </c>
      <c r="P791" s="41"/>
      <c r="Q791" s="5"/>
      <c r="R791" s="5"/>
      <c r="S791" s="5"/>
      <c r="T791" s="41"/>
    </row>
    <row r="792" spans="1:20" s="119" customFormat="1" ht="13.15" hidden="1" customHeight="1" outlineLevel="1" x14ac:dyDescent="0.25">
      <c r="A792" s="26" t="str">
        <f>IF(K792="","",MAX(A$2:A791)+1)</f>
        <v/>
      </c>
      <c r="B792" s="205"/>
      <c r="C792" s="152" t="s">
        <v>345</v>
      </c>
      <c r="D792" s="149"/>
      <c r="E792" s="149"/>
      <c r="F792" s="149"/>
      <c r="G792" s="149"/>
      <c r="H792" s="149" t="s">
        <v>12</v>
      </c>
      <c r="I792" s="149">
        <v>1</v>
      </c>
      <c r="J792" s="150"/>
      <c r="K792" s="150"/>
      <c r="L792" s="175"/>
      <c r="M792" s="118"/>
      <c r="N792" s="118"/>
      <c r="O792" s="151"/>
    </row>
    <row r="793" spans="1:20" s="119" customFormat="1" ht="13.15" hidden="1" customHeight="1" outlineLevel="1" x14ac:dyDescent="0.25">
      <c r="A793" s="26" t="str">
        <f>IF(K793="","",MAX(A$2:A792)+1)</f>
        <v/>
      </c>
      <c r="B793" s="205"/>
      <c r="C793" s="152" t="s">
        <v>346</v>
      </c>
      <c r="D793" s="149"/>
      <c r="E793" s="149"/>
      <c r="F793" s="149"/>
      <c r="G793" s="149"/>
      <c r="H793" s="149" t="s">
        <v>12</v>
      </c>
      <c r="I793" s="149">
        <v>1</v>
      </c>
      <c r="J793" s="150"/>
      <c r="K793" s="150"/>
      <c r="L793" s="175"/>
      <c r="M793" s="118"/>
      <c r="N793" s="118"/>
      <c r="O793" s="151"/>
    </row>
    <row r="794" spans="1:20" s="119" customFormat="1" ht="13.15" hidden="1" customHeight="1" outlineLevel="1" x14ac:dyDescent="0.25">
      <c r="A794" s="26" t="str">
        <f>IF(K794="","",MAX(A$2:A793)+1)</f>
        <v/>
      </c>
      <c r="B794" s="205"/>
      <c r="C794" s="152" t="s">
        <v>347</v>
      </c>
      <c r="D794" s="149"/>
      <c r="E794" s="149"/>
      <c r="F794" s="149"/>
      <c r="G794" s="149"/>
      <c r="H794" s="149" t="s">
        <v>12</v>
      </c>
      <c r="I794" s="149">
        <v>1</v>
      </c>
      <c r="J794" s="150"/>
      <c r="K794" s="150"/>
      <c r="L794" s="175"/>
      <c r="M794" s="118"/>
      <c r="N794" s="118"/>
      <c r="O794" s="151"/>
    </row>
    <row r="795" spans="1:20" s="119" customFormat="1" ht="13.15" hidden="1" customHeight="1" outlineLevel="1" x14ac:dyDescent="0.25">
      <c r="A795" s="26" t="str">
        <f>IF(K795="","",MAX(A$2:A794)+1)</f>
        <v/>
      </c>
      <c r="B795" s="205"/>
      <c r="C795" s="152" t="s">
        <v>348</v>
      </c>
      <c r="D795" s="149"/>
      <c r="E795" s="149"/>
      <c r="F795" s="149"/>
      <c r="G795" s="149"/>
      <c r="H795" s="149" t="s">
        <v>12</v>
      </c>
      <c r="I795" s="149">
        <v>1</v>
      </c>
      <c r="J795" s="150"/>
      <c r="K795" s="150"/>
      <c r="L795" s="175"/>
      <c r="M795" s="118"/>
      <c r="N795" s="118"/>
      <c r="O795" s="151"/>
    </row>
    <row r="796" spans="1:20" s="119" customFormat="1" ht="13.15" hidden="1" customHeight="1" outlineLevel="1" x14ac:dyDescent="0.25">
      <c r="A796" s="26" t="str">
        <f>IF(K796="","",MAX(A$2:A795)+1)</f>
        <v/>
      </c>
      <c r="B796" s="205"/>
      <c r="C796" s="152" t="s">
        <v>349</v>
      </c>
      <c r="D796" s="149"/>
      <c r="E796" s="149"/>
      <c r="F796" s="149"/>
      <c r="G796" s="149"/>
      <c r="H796" s="149" t="s">
        <v>12</v>
      </c>
      <c r="I796" s="149">
        <v>1</v>
      </c>
      <c r="J796" s="150"/>
      <c r="K796" s="150"/>
      <c r="L796" s="175"/>
      <c r="M796" s="118"/>
      <c r="N796" s="118"/>
      <c r="O796" s="151"/>
    </row>
    <row r="797" spans="1:20" s="119" customFormat="1" ht="13.15" hidden="1" customHeight="1" outlineLevel="1" x14ac:dyDescent="0.25">
      <c r="A797" s="26" t="str">
        <f>IF(K797="","",MAX(A$2:A796)+1)</f>
        <v/>
      </c>
      <c r="B797" s="205"/>
      <c r="C797" s="152" t="s">
        <v>350</v>
      </c>
      <c r="D797" s="149"/>
      <c r="E797" s="149"/>
      <c r="F797" s="149"/>
      <c r="G797" s="149"/>
      <c r="H797" s="149" t="s">
        <v>12</v>
      </c>
      <c r="I797" s="149">
        <v>1</v>
      </c>
      <c r="J797" s="150"/>
      <c r="K797" s="150"/>
      <c r="L797" s="175"/>
      <c r="M797" s="118"/>
      <c r="N797" s="118"/>
      <c r="O797" s="151"/>
    </row>
    <row r="798" spans="1:20" s="119" customFormat="1" ht="13.15" hidden="1" customHeight="1" outlineLevel="1" x14ac:dyDescent="0.25">
      <c r="A798" s="26" t="str">
        <f>IF(K798="","",MAX(A$2:A797)+1)</f>
        <v/>
      </c>
      <c r="B798" s="205"/>
      <c r="C798" s="152" t="s">
        <v>351</v>
      </c>
      <c r="D798" s="149"/>
      <c r="E798" s="149"/>
      <c r="F798" s="149"/>
      <c r="G798" s="149"/>
      <c r="H798" s="149" t="s">
        <v>12</v>
      </c>
      <c r="I798" s="149">
        <v>1</v>
      </c>
      <c r="J798" s="150"/>
      <c r="K798" s="150"/>
      <c r="L798" s="175"/>
      <c r="M798" s="118"/>
      <c r="N798" s="118"/>
      <c r="O798" s="151"/>
    </row>
    <row r="799" spans="1:20" s="119" customFormat="1" ht="13.15" hidden="1" customHeight="1" outlineLevel="1" x14ac:dyDescent="0.25">
      <c r="A799" s="26" t="str">
        <f>IF(K799="","",MAX(A$2:A798)+1)</f>
        <v/>
      </c>
      <c r="B799" s="205"/>
      <c r="C799" s="152" t="s">
        <v>352</v>
      </c>
      <c r="D799" s="149"/>
      <c r="E799" s="149"/>
      <c r="F799" s="149"/>
      <c r="G799" s="149"/>
      <c r="H799" s="149" t="s">
        <v>12</v>
      </c>
      <c r="I799" s="149">
        <v>1</v>
      </c>
      <c r="J799" s="150"/>
      <c r="K799" s="150"/>
      <c r="L799" s="175"/>
      <c r="M799" s="118"/>
      <c r="N799" s="118"/>
      <c r="O799" s="151"/>
    </row>
    <row r="800" spans="1:20" s="119" customFormat="1" ht="13.15" hidden="1" customHeight="1" outlineLevel="1" x14ac:dyDescent="0.25">
      <c r="A800" s="26" t="str">
        <f>IF(K800="","",MAX(A$2:A799)+1)</f>
        <v/>
      </c>
      <c r="B800" s="205"/>
      <c r="C800" s="152" t="s">
        <v>353</v>
      </c>
      <c r="D800" s="149"/>
      <c r="E800" s="149"/>
      <c r="F800" s="149"/>
      <c r="G800" s="149"/>
      <c r="H800" s="149" t="s">
        <v>12</v>
      </c>
      <c r="I800" s="149">
        <v>1</v>
      </c>
      <c r="J800" s="150"/>
      <c r="K800" s="150"/>
      <c r="L800" s="175"/>
      <c r="M800" s="118"/>
      <c r="N800" s="118"/>
      <c r="O800" s="151"/>
    </row>
    <row r="801" spans="1:20" s="119" customFormat="1" ht="13.15" hidden="1" customHeight="1" outlineLevel="1" x14ac:dyDescent="0.25">
      <c r="A801" s="26" t="str">
        <f>IF(K801="","",MAX(A$2:A800)+1)</f>
        <v/>
      </c>
      <c r="B801" s="205"/>
      <c r="C801" s="152" t="s">
        <v>354</v>
      </c>
      <c r="D801" s="149"/>
      <c r="E801" s="149"/>
      <c r="F801" s="149"/>
      <c r="G801" s="149"/>
      <c r="H801" s="149" t="s">
        <v>12</v>
      </c>
      <c r="I801" s="149">
        <v>1</v>
      </c>
      <c r="J801" s="150"/>
      <c r="K801" s="150"/>
      <c r="L801" s="175"/>
      <c r="M801" s="118"/>
      <c r="N801" s="118"/>
      <c r="O801" s="151"/>
    </row>
    <row r="802" spans="1:20" s="119" customFormat="1" ht="13.15" hidden="1" customHeight="1" outlineLevel="1" x14ac:dyDescent="0.25">
      <c r="A802" s="26" t="str">
        <f>IF(K802="","",MAX(A$2:A801)+1)</f>
        <v/>
      </c>
      <c r="B802" s="205"/>
      <c r="C802" s="152" t="s">
        <v>355</v>
      </c>
      <c r="D802" s="149"/>
      <c r="E802" s="149"/>
      <c r="F802" s="149"/>
      <c r="G802" s="149"/>
      <c r="H802" s="149" t="s">
        <v>12</v>
      </c>
      <c r="I802" s="149">
        <v>1</v>
      </c>
      <c r="J802" s="150"/>
      <c r="K802" s="150"/>
      <c r="L802" s="175"/>
      <c r="M802" s="118"/>
      <c r="N802" s="118"/>
      <c r="O802" s="151"/>
    </row>
    <row r="803" spans="1:20" s="119" customFormat="1" ht="13.15" hidden="1" customHeight="1" outlineLevel="1" x14ac:dyDescent="0.25">
      <c r="A803" s="26" t="str">
        <f>IF(K803="","",MAX(A$2:A802)+1)</f>
        <v/>
      </c>
      <c r="B803" s="205"/>
      <c r="C803" s="152" t="s">
        <v>356</v>
      </c>
      <c r="D803" s="149"/>
      <c r="E803" s="149"/>
      <c r="F803" s="149"/>
      <c r="G803" s="149"/>
      <c r="H803" s="149" t="s">
        <v>12</v>
      </c>
      <c r="I803" s="149">
        <v>1</v>
      </c>
      <c r="J803" s="150"/>
      <c r="K803" s="150"/>
      <c r="L803" s="175"/>
      <c r="M803" s="118"/>
      <c r="N803" s="118"/>
      <c r="O803" s="151"/>
    </row>
    <row r="804" spans="1:20" s="119" customFormat="1" ht="13.15" hidden="1" customHeight="1" outlineLevel="1" x14ac:dyDescent="0.25">
      <c r="A804" s="26" t="str">
        <f>IF(K804="","",MAX(A$2:A803)+1)</f>
        <v/>
      </c>
      <c r="B804" s="205"/>
      <c r="C804" s="152" t="s">
        <v>357</v>
      </c>
      <c r="D804" s="149"/>
      <c r="E804" s="149"/>
      <c r="F804" s="149"/>
      <c r="G804" s="149"/>
      <c r="H804" s="149" t="s">
        <v>12</v>
      </c>
      <c r="I804" s="149">
        <v>1</v>
      </c>
      <c r="J804" s="150"/>
      <c r="K804" s="150"/>
      <c r="L804" s="175"/>
      <c r="M804" s="118"/>
      <c r="N804" s="118"/>
      <c r="O804" s="151"/>
    </row>
    <row r="805" spans="1:20" s="119" customFormat="1" ht="13.15" hidden="1" customHeight="1" outlineLevel="1" x14ac:dyDescent="0.25">
      <c r="A805" s="26" t="str">
        <f>IF(K805="","",MAX(A$2:A804)+1)</f>
        <v/>
      </c>
      <c r="B805" s="205"/>
      <c r="C805" s="152"/>
      <c r="D805" s="149"/>
      <c r="E805" s="149"/>
      <c r="F805" s="149"/>
      <c r="G805" s="149"/>
      <c r="H805" s="149"/>
      <c r="I805" s="204">
        <f>SUM(I792:I804)</f>
        <v>13</v>
      </c>
      <c r="J805" s="150"/>
      <c r="K805" s="150"/>
      <c r="L805" s="175"/>
      <c r="M805" s="118"/>
      <c r="N805" s="118"/>
      <c r="O805" s="151"/>
    </row>
    <row r="806" spans="1:20" ht="15" customHeight="1" collapsed="1" x14ac:dyDescent="0.25">
      <c r="A806" s="26">
        <f>IF(K806="","",MAX(A$2:A805)+1)</f>
        <v>192</v>
      </c>
      <c r="B806" s="14"/>
      <c r="C806" s="43" t="s">
        <v>53</v>
      </c>
      <c r="D806" s="5"/>
      <c r="E806" s="5"/>
      <c r="F806" s="5"/>
      <c r="G806" s="5"/>
      <c r="H806" s="5"/>
      <c r="I806" s="5"/>
      <c r="J806" s="88"/>
      <c r="K806" s="88" t="s">
        <v>15</v>
      </c>
      <c r="L806" s="54">
        <f>I820</f>
        <v>11</v>
      </c>
      <c r="M806" s="17"/>
      <c r="N806" s="17">
        <f t="shared" si="119"/>
        <v>0</v>
      </c>
      <c r="P806" s="41"/>
      <c r="Q806" s="5"/>
      <c r="R806" s="5"/>
      <c r="S806" s="5"/>
      <c r="T806" s="41"/>
    </row>
    <row r="807" spans="1:20" s="119" customFormat="1" ht="13.15" hidden="1" customHeight="1" outlineLevel="1" x14ac:dyDescent="0.25">
      <c r="A807" s="26" t="str">
        <f>IF(K807="","",MAX(A$2:A806)+1)</f>
        <v/>
      </c>
      <c r="B807" s="205"/>
      <c r="C807" s="152" t="s">
        <v>345</v>
      </c>
      <c r="D807" s="149"/>
      <c r="E807" s="149"/>
      <c r="F807" s="149"/>
      <c r="G807" s="149"/>
      <c r="H807" s="149" t="s">
        <v>12</v>
      </c>
      <c r="I807" s="149">
        <v>1</v>
      </c>
      <c r="J807" s="150"/>
      <c r="K807" s="150"/>
      <c r="L807" s="175"/>
      <c r="M807" s="118"/>
      <c r="N807" s="118"/>
      <c r="O807" s="151"/>
    </row>
    <row r="808" spans="1:20" s="119" customFormat="1" ht="13.15" hidden="1" customHeight="1" outlineLevel="1" x14ac:dyDescent="0.25">
      <c r="A808" s="26" t="str">
        <f>IF(K808="","",MAX(A$2:A807)+1)</f>
        <v/>
      </c>
      <c r="B808" s="205"/>
      <c r="C808" s="152" t="s">
        <v>346</v>
      </c>
      <c r="D808" s="149"/>
      <c r="E808" s="149"/>
      <c r="F808" s="149"/>
      <c r="G808" s="149"/>
      <c r="H808" s="149" t="s">
        <v>12</v>
      </c>
      <c r="I808" s="149">
        <v>1</v>
      </c>
      <c r="J808" s="150"/>
      <c r="K808" s="150"/>
      <c r="L808" s="175"/>
      <c r="M808" s="118"/>
      <c r="N808" s="118"/>
      <c r="O808" s="151"/>
    </row>
    <row r="809" spans="1:20" s="119" customFormat="1" ht="13.15" hidden="1" customHeight="1" outlineLevel="1" x14ac:dyDescent="0.25">
      <c r="A809" s="26" t="str">
        <f>IF(K809="","",MAX(A$2:A808)+1)</f>
        <v/>
      </c>
      <c r="B809" s="205"/>
      <c r="C809" s="152" t="s">
        <v>347</v>
      </c>
      <c r="D809" s="149"/>
      <c r="E809" s="149"/>
      <c r="F809" s="149"/>
      <c r="G809" s="149"/>
      <c r="H809" s="149" t="s">
        <v>12</v>
      </c>
      <c r="I809" s="149">
        <v>1</v>
      </c>
      <c r="J809" s="150"/>
      <c r="K809" s="150"/>
      <c r="L809" s="175"/>
      <c r="M809" s="118"/>
      <c r="N809" s="118"/>
      <c r="O809" s="151"/>
    </row>
    <row r="810" spans="1:20" s="119" customFormat="1" ht="13.15" hidden="1" customHeight="1" outlineLevel="1" x14ac:dyDescent="0.25">
      <c r="A810" s="26" t="str">
        <f>IF(K810="","",MAX(A$2:A809)+1)</f>
        <v/>
      </c>
      <c r="B810" s="205"/>
      <c r="C810" s="152" t="s">
        <v>348</v>
      </c>
      <c r="D810" s="149"/>
      <c r="E810" s="149"/>
      <c r="F810" s="149"/>
      <c r="G810" s="149"/>
      <c r="H810" s="149" t="s">
        <v>12</v>
      </c>
      <c r="I810" s="149">
        <v>1</v>
      </c>
      <c r="J810" s="150"/>
      <c r="K810" s="150"/>
      <c r="L810" s="175"/>
      <c r="M810" s="118"/>
      <c r="N810" s="118"/>
      <c r="O810" s="151"/>
    </row>
    <row r="811" spans="1:20" s="119" customFormat="1" ht="13.15" hidden="1" customHeight="1" outlineLevel="1" x14ac:dyDescent="0.25">
      <c r="A811" s="26" t="str">
        <f>IF(K811="","",MAX(A$2:A810)+1)</f>
        <v/>
      </c>
      <c r="B811" s="205"/>
      <c r="C811" s="152" t="s">
        <v>349</v>
      </c>
      <c r="D811" s="149"/>
      <c r="E811" s="149"/>
      <c r="F811" s="149"/>
      <c r="G811" s="149"/>
      <c r="H811" s="149" t="s">
        <v>12</v>
      </c>
      <c r="I811" s="149">
        <v>1</v>
      </c>
      <c r="J811" s="150"/>
      <c r="K811" s="150"/>
      <c r="L811" s="175"/>
      <c r="M811" s="118"/>
      <c r="N811" s="118"/>
      <c r="O811" s="151"/>
    </row>
    <row r="812" spans="1:20" s="119" customFormat="1" ht="13.15" hidden="1" customHeight="1" outlineLevel="1" x14ac:dyDescent="0.25">
      <c r="A812" s="26" t="str">
        <f>IF(K812="","",MAX(A$2:A811)+1)</f>
        <v/>
      </c>
      <c r="B812" s="205"/>
      <c r="C812" s="152" t="s">
        <v>350</v>
      </c>
      <c r="D812" s="149"/>
      <c r="E812" s="149"/>
      <c r="F812" s="149"/>
      <c r="G812" s="149"/>
      <c r="H812" s="149" t="s">
        <v>12</v>
      </c>
      <c r="I812" s="149" t="s">
        <v>106</v>
      </c>
      <c r="J812" s="150"/>
      <c r="K812" s="150"/>
      <c r="L812" s="175"/>
      <c r="M812" s="118"/>
      <c r="N812" s="118"/>
      <c r="O812" s="151"/>
    </row>
    <row r="813" spans="1:20" s="119" customFormat="1" ht="13.15" hidden="1" customHeight="1" outlineLevel="1" x14ac:dyDescent="0.25">
      <c r="A813" s="26" t="str">
        <f>IF(K813="","",MAX(A$2:A812)+1)</f>
        <v/>
      </c>
      <c r="B813" s="205"/>
      <c r="C813" s="152" t="s">
        <v>351</v>
      </c>
      <c r="D813" s="149"/>
      <c r="E813" s="149"/>
      <c r="F813" s="149"/>
      <c r="G813" s="149"/>
      <c r="H813" s="149" t="s">
        <v>12</v>
      </c>
      <c r="I813" s="149">
        <v>1</v>
      </c>
      <c r="J813" s="150"/>
      <c r="K813" s="150"/>
      <c r="L813" s="175"/>
      <c r="M813" s="118"/>
      <c r="N813" s="118"/>
      <c r="O813" s="151"/>
    </row>
    <row r="814" spans="1:20" s="119" customFormat="1" ht="13.15" hidden="1" customHeight="1" outlineLevel="1" x14ac:dyDescent="0.25">
      <c r="A814" s="26" t="str">
        <f>IF(K814="","",MAX(A$2:A813)+1)</f>
        <v/>
      </c>
      <c r="B814" s="205"/>
      <c r="C814" s="152" t="s">
        <v>352</v>
      </c>
      <c r="D814" s="149"/>
      <c r="E814" s="149"/>
      <c r="F814" s="149"/>
      <c r="G814" s="149"/>
      <c r="H814" s="149" t="s">
        <v>12</v>
      </c>
      <c r="I814" s="149">
        <v>1</v>
      </c>
      <c r="J814" s="150"/>
      <c r="K814" s="150"/>
      <c r="L814" s="175"/>
      <c r="M814" s="118"/>
      <c r="N814" s="118"/>
      <c r="O814" s="151"/>
    </row>
    <row r="815" spans="1:20" s="119" customFormat="1" ht="13.15" hidden="1" customHeight="1" outlineLevel="1" x14ac:dyDescent="0.25">
      <c r="A815" s="26" t="str">
        <f>IF(K815="","",MAX(A$2:A814)+1)</f>
        <v/>
      </c>
      <c r="B815" s="205"/>
      <c r="C815" s="152" t="s">
        <v>353</v>
      </c>
      <c r="D815" s="149"/>
      <c r="E815" s="149"/>
      <c r="F815" s="149"/>
      <c r="G815" s="149"/>
      <c r="H815" s="149" t="s">
        <v>12</v>
      </c>
      <c r="I815" s="149">
        <v>1</v>
      </c>
      <c r="J815" s="150"/>
      <c r="K815" s="150"/>
      <c r="L815" s="175"/>
      <c r="M815" s="118"/>
      <c r="N815" s="118"/>
      <c r="O815" s="151"/>
    </row>
    <row r="816" spans="1:20" s="119" customFormat="1" ht="13.15" hidden="1" customHeight="1" outlineLevel="1" x14ac:dyDescent="0.25">
      <c r="A816" s="26" t="str">
        <f>IF(K816="","",MAX(A$2:A815)+1)</f>
        <v/>
      </c>
      <c r="B816" s="205"/>
      <c r="C816" s="152" t="s">
        <v>354</v>
      </c>
      <c r="D816" s="149"/>
      <c r="E816" s="149"/>
      <c r="F816" s="149"/>
      <c r="G816" s="149"/>
      <c r="H816" s="149" t="s">
        <v>12</v>
      </c>
      <c r="I816" s="149">
        <v>1</v>
      </c>
      <c r="J816" s="150"/>
      <c r="K816" s="150"/>
      <c r="L816" s="175"/>
      <c r="M816" s="118"/>
      <c r="N816" s="118"/>
      <c r="O816" s="151"/>
    </row>
    <row r="817" spans="1:20" s="119" customFormat="1" ht="13.15" hidden="1" customHeight="1" outlineLevel="1" x14ac:dyDescent="0.25">
      <c r="A817" s="26" t="str">
        <f>IF(K817="","",MAX(A$2:A816)+1)</f>
        <v/>
      </c>
      <c r="B817" s="205"/>
      <c r="C817" s="152" t="s">
        <v>355</v>
      </c>
      <c r="D817" s="149"/>
      <c r="E817" s="149"/>
      <c r="F817" s="149"/>
      <c r="G817" s="149"/>
      <c r="H817" s="149" t="s">
        <v>12</v>
      </c>
      <c r="I817" s="149">
        <v>1</v>
      </c>
      <c r="J817" s="150"/>
      <c r="K817" s="150"/>
      <c r="L817" s="175"/>
      <c r="M817" s="118"/>
      <c r="N817" s="118"/>
      <c r="O817" s="151"/>
    </row>
    <row r="818" spans="1:20" s="119" customFormat="1" ht="13.15" hidden="1" customHeight="1" outlineLevel="1" x14ac:dyDescent="0.25">
      <c r="A818" s="26" t="str">
        <f>IF(K818="","",MAX(A$2:A817)+1)</f>
        <v/>
      </c>
      <c r="B818" s="205"/>
      <c r="C818" s="152" t="s">
        <v>356</v>
      </c>
      <c r="D818" s="149"/>
      <c r="E818" s="149"/>
      <c r="F818" s="149"/>
      <c r="G818" s="149"/>
      <c r="H818" s="149" t="s">
        <v>12</v>
      </c>
      <c r="I818" s="149" t="s">
        <v>106</v>
      </c>
      <c r="J818" s="150"/>
      <c r="K818" s="150"/>
      <c r="L818" s="175"/>
      <c r="M818" s="118"/>
      <c r="N818" s="118"/>
      <c r="O818" s="151"/>
    </row>
    <row r="819" spans="1:20" s="119" customFormat="1" ht="13.15" hidden="1" customHeight="1" outlineLevel="1" x14ac:dyDescent="0.25">
      <c r="A819" s="26" t="str">
        <f>IF(K819="","",MAX(A$2:A818)+1)</f>
        <v/>
      </c>
      <c r="B819" s="205"/>
      <c r="C819" s="152" t="s">
        <v>357</v>
      </c>
      <c r="D819" s="149"/>
      <c r="E819" s="149"/>
      <c r="F819" s="149"/>
      <c r="G819" s="149"/>
      <c r="H819" s="149" t="s">
        <v>12</v>
      </c>
      <c r="I819" s="149">
        <v>1</v>
      </c>
      <c r="J819" s="150"/>
      <c r="K819" s="150"/>
      <c r="L819" s="175"/>
      <c r="M819" s="118"/>
      <c r="N819" s="118"/>
      <c r="O819" s="151"/>
    </row>
    <row r="820" spans="1:20" s="119" customFormat="1" ht="13.15" hidden="1" customHeight="1" outlineLevel="1" x14ac:dyDescent="0.25">
      <c r="A820" s="26" t="str">
        <f>IF(K820="","",MAX(A$2:A819)+1)</f>
        <v/>
      </c>
      <c r="B820" s="205"/>
      <c r="C820" s="152"/>
      <c r="D820" s="149"/>
      <c r="E820" s="149"/>
      <c r="F820" s="149"/>
      <c r="G820" s="149"/>
      <c r="H820" s="149"/>
      <c r="I820" s="204">
        <f>SUM(I807:I819)</f>
        <v>11</v>
      </c>
      <c r="J820" s="150"/>
      <c r="K820" s="150"/>
      <c r="L820" s="175"/>
      <c r="M820" s="118"/>
      <c r="N820" s="118"/>
      <c r="O820" s="151"/>
    </row>
    <row r="821" spans="1:20" ht="15" customHeight="1" collapsed="1" x14ac:dyDescent="0.25">
      <c r="A821" s="26">
        <f>IF(K821="","",MAX(A$2:A820)+1)</f>
        <v>193</v>
      </c>
      <c r="B821" s="14"/>
      <c r="C821" s="43" t="s">
        <v>62</v>
      </c>
      <c r="D821" s="5"/>
      <c r="E821" s="5"/>
      <c r="F821" s="5"/>
      <c r="G821" s="5"/>
      <c r="H821" s="5"/>
      <c r="I821" s="5"/>
      <c r="J821" s="88"/>
      <c r="K821" s="88" t="s">
        <v>27</v>
      </c>
      <c r="L821" s="17">
        <v>81</v>
      </c>
      <c r="M821" s="17"/>
      <c r="N821" s="17">
        <f t="shared" si="119"/>
        <v>0</v>
      </c>
      <c r="P821" s="41"/>
      <c r="Q821" s="5"/>
      <c r="R821" s="5"/>
      <c r="S821" s="5"/>
      <c r="T821" s="41"/>
    </row>
    <row r="822" spans="1:20" s="119" customFormat="1" ht="13.15" hidden="1" customHeight="1" outlineLevel="1" x14ac:dyDescent="0.25">
      <c r="A822" s="26" t="str">
        <f>IF(K822="","",MAX(A$2:A821)+1)</f>
        <v/>
      </c>
      <c r="B822" s="205"/>
      <c r="C822" s="152" t="s">
        <v>358</v>
      </c>
      <c r="D822" s="149"/>
      <c r="E822" s="153"/>
      <c r="F822" s="153"/>
      <c r="G822" s="153"/>
      <c r="H822" s="154"/>
      <c r="I822" s="153"/>
      <c r="J822" s="155"/>
      <c r="K822" s="150"/>
      <c r="L822" s="118"/>
      <c r="M822" s="118"/>
      <c r="N822" s="118">
        <f>+M822*L822</f>
        <v>0</v>
      </c>
      <c r="O822" s="156"/>
    </row>
    <row r="823" spans="1:20" ht="15" customHeight="1" collapsed="1" x14ac:dyDescent="0.25">
      <c r="A823" s="26">
        <f>IF(K823="","",MAX(A$2:A822)+1)</f>
        <v>194</v>
      </c>
      <c r="B823" s="14"/>
      <c r="C823" s="43" t="s">
        <v>175</v>
      </c>
      <c r="D823" s="5"/>
      <c r="E823" s="5"/>
      <c r="F823" s="5"/>
      <c r="G823" s="5"/>
      <c r="H823" s="5"/>
      <c r="I823" s="5"/>
      <c r="J823" s="88"/>
      <c r="K823" s="88" t="s">
        <v>27</v>
      </c>
      <c r="L823" s="17">
        <f>L821</f>
        <v>81</v>
      </c>
      <c r="M823" s="17"/>
      <c r="N823" s="17">
        <f t="shared" si="119"/>
        <v>0</v>
      </c>
      <c r="P823" s="41"/>
      <c r="Q823" s="5"/>
      <c r="R823" s="5"/>
      <c r="S823" s="5"/>
      <c r="T823" s="41"/>
    </row>
    <row r="824" spans="1:20" s="119" customFormat="1" ht="13.15" hidden="1" customHeight="1" outlineLevel="1" x14ac:dyDescent="0.25">
      <c r="A824" s="26" t="str">
        <f>IF(K824="","",MAX(A$2:A823)+1)</f>
        <v/>
      </c>
      <c r="B824" s="205"/>
      <c r="C824" s="152" t="s">
        <v>358</v>
      </c>
      <c r="D824" s="149"/>
      <c r="E824" s="153"/>
      <c r="F824" s="153"/>
      <c r="G824" s="153"/>
      <c r="H824" s="154"/>
      <c r="I824" s="153"/>
      <c r="J824" s="155"/>
      <c r="K824" s="150"/>
      <c r="L824" s="118"/>
      <c r="M824" s="118"/>
      <c r="N824" s="118">
        <f>+M824*L824</f>
        <v>0</v>
      </c>
      <c r="O824" s="156"/>
    </row>
    <row r="825" spans="1:20" ht="15" customHeight="1" x14ac:dyDescent="0.25">
      <c r="A825" s="26" t="str">
        <f>IF(K825="","",MAX(A$2:A824)+1)</f>
        <v/>
      </c>
      <c r="B825" s="14"/>
      <c r="C825" s="43"/>
      <c r="D825" s="5"/>
      <c r="E825" s="5"/>
      <c r="F825" s="5"/>
      <c r="G825" s="5"/>
      <c r="H825" s="5"/>
      <c r="I825" s="5"/>
      <c r="J825" s="88"/>
      <c r="K825" s="88"/>
      <c r="L825" s="17"/>
      <c r="M825" s="17"/>
      <c r="N825" s="17">
        <f t="shared" si="119"/>
        <v>0</v>
      </c>
      <c r="P825" s="41"/>
      <c r="Q825" s="5"/>
      <c r="R825" s="5"/>
      <c r="S825" s="5"/>
      <c r="T825" s="41"/>
    </row>
    <row r="826" spans="1:20" ht="15" customHeight="1" x14ac:dyDescent="0.25">
      <c r="A826" s="26" t="str">
        <f>IF(K826="","",MAX(A$2:A825)+1)</f>
        <v/>
      </c>
      <c r="B826" s="14" t="s">
        <v>380</v>
      </c>
      <c r="C826" s="21" t="s">
        <v>440</v>
      </c>
      <c r="D826" s="5"/>
      <c r="E826" s="5"/>
      <c r="F826" s="5"/>
      <c r="G826" s="5"/>
      <c r="H826" s="5"/>
      <c r="I826" s="5"/>
      <c r="J826" s="88"/>
      <c r="K826" s="88"/>
      <c r="L826" s="51"/>
      <c r="M826" s="17"/>
      <c r="N826" s="17">
        <f t="shared" si="119"/>
        <v>0</v>
      </c>
      <c r="O826" s="56"/>
    </row>
    <row r="827" spans="1:20" ht="15" customHeight="1" x14ac:dyDescent="0.25">
      <c r="A827" s="26" t="str">
        <f>IF(K827="","",MAX(A$2:A826)+1)</f>
        <v/>
      </c>
      <c r="B827" s="14"/>
      <c r="C827" s="23" t="s">
        <v>396</v>
      </c>
      <c r="D827" s="5"/>
      <c r="E827" s="5"/>
      <c r="F827" s="5"/>
      <c r="G827" s="5"/>
      <c r="H827" s="5"/>
      <c r="I827" s="5"/>
      <c r="J827" s="88"/>
      <c r="K827" s="88"/>
      <c r="L827" s="51"/>
      <c r="M827" s="17"/>
      <c r="N827" s="17">
        <f t="shared" si="119"/>
        <v>0</v>
      </c>
      <c r="O827" s="56"/>
    </row>
    <row r="828" spans="1:20" ht="15" customHeight="1" x14ac:dyDescent="0.25">
      <c r="A828" s="26">
        <f>IF(K828="","",MAX(A$2:A827)+1)</f>
        <v>195</v>
      </c>
      <c r="B828" s="14"/>
      <c r="C828" s="43" t="s">
        <v>242</v>
      </c>
      <c r="D828" s="5"/>
      <c r="E828" s="5"/>
      <c r="F828" s="5"/>
      <c r="G828" s="5"/>
      <c r="H828" s="5"/>
      <c r="I828" s="5"/>
      <c r="J828" s="88"/>
      <c r="K828" s="88" t="s">
        <v>60</v>
      </c>
      <c r="L828" s="54">
        <v>14</v>
      </c>
      <c r="M828" s="17"/>
      <c r="N828" s="17">
        <f>+M828*L828</f>
        <v>0</v>
      </c>
      <c r="O828" s="56"/>
    </row>
    <row r="829" spans="1:20" ht="15" customHeight="1" x14ac:dyDescent="0.25">
      <c r="A829" s="26">
        <f>IF(K829="","",MAX(A$2:A828)+1)</f>
        <v>196</v>
      </c>
      <c r="B829" s="14"/>
      <c r="C829" s="43" t="s">
        <v>243</v>
      </c>
      <c r="D829" s="22"/>
      <c r="E829" s="22"/>
      <c r="F829" s="22"/>
      <c r="G829" s="22"/>
      <c r="H829" s="22"/>
      <c r="I829" s="22"/>
      <c r="J829" s="58"/>
      <c r="K829" s="88" t="s">
        <v>60</v>
      </c>
      <c r="L829" s="54">
        <v>3</v>
      </c>
      <c r="M829" s="17"/>
      <c r="N829" s="17">
        <f t="shared" ref="N829" si="120">+M829*L829</f>
        <v>0</v>
      </c>
      <c r="O829" s="129"/>
    </row>
    <row r="830" spans="1:20" ht="15" customHeight="1" x14ac:dyDescent="0.25">
      <c r="A830" s="26" t="str">
        <f>IF(K830="","",MAX(A$2:A829)+1)</f>
        <v/>
      </c>
      <c r="B830" s="14"/>
      <c r="C830" s="21"/>
      <c r="D830" s="5"/>
      <c r="E830" s="5"/>
      <c r="F830" s="5"/>
      <c r="G830" s="5"/>
      <c r="H830" s="5"/>
      <c r="I830" s="5"/>
      <c r="J830" s="88"/>
      <c r="K830" s="88"/>
      <c r="L830" s="17"/>
      <c r="M830" s="17"/>
      <c r="N830" s="17"/>
      <c r="O830" s="56"/>
    </row>
    <row r="831" spans="1:20" ht="15" customHeight="1" x14ac:dyDescent="0.25">
      <c r="A831" s="26" t="str">
        <f>IF(K831="","",MAX(A$2:A830)+1)</f>
        <v/>
      </c>
      <c r="B831" s="14" t="s">
        <v>401</v>
      </c>
      <c r="C831" s="21" t="s">
        <v>441</v>
      </c>
      <c r="D831" s="5"/>
      <c r="E831" s="5"/>
      <c r="F831" s="5"/>
      <c r="G831" s="5"/>
      <c r="H831" s="5"/>
      <c r="I831" s="5"/>
      <c r="J831" s="88"/>
      <c r="K831" s="88"/>
      <c r="L831" s="17"/>
      <c r="M831" s="17"/>
      <c r="N831" s="17">
        <f>+M831*L831</f>
        <v>0</v>
      </c>
      <c r="O831" s="56"/>
    </row>
    <row r="832" spans="1:20" ht="15" customHeight="1" x14ac:dyDescent="0.25">
      <c r="A832" s="26" t="str">
        <f>IF(K832="","",MAX(A$2:A831)+1)</f>
        <v/>
      </c>
      <c r="B832" s="14"/>
      <c r="C832" s="23" t="s">
        <v>67</v>
      </c>
      <c r="D832" s="5"/>
      <c r="E832" s="5"/>
      <c r="F832" s="5"/>
      <c r="G832" s="5"/>
      <c r="H832" s="5"/>
      <c r="I832" s="5"/>
      <c r="J832" s="88"/>
      <c r="K832" s="88"/>
      <c r="L832" s="17"/>
      <c r="M832" s="17"/>
      <c r="N832" s="17">
        <f>+M832*L832</f>
        <v>0</v>
      </c>
      <c r="O832" s="56"/>
    </row>
    <row r="833" spans="1:15" ht="15" customHeight="1" x14ac:dyDescent="0.25">
      <c r="A833" s="26">
        <f>IF(K833="","",MAX(A$2:A832)+1)</f>
        <v>197</v>
      </c>
      <c r="B833" s="14"/>
      <c r="C833" s="127" t="s">
        <v>361</v>
      </c>
      <c r="D833" s="5"/>
      <c r="E833" s="5"/>
      <c r="F833" s="5"/>
      <c r="G833" s="5"/>
      <c r="H833" s="5"/>
      <c r="I833" s="5"/>
      <c r="J833" s="88"/>
      <c r="K833" s="88" t="s">
        <v>60</v>
      </c>
      <c r="L833" s="54">
        <v>1</v>
      </c>
      <c r="M833" s="17"/>
      <c r="N833" s="17">
        <f t="shared" ref="N833" si="121">+M833*L833</f>
        <v>0</v>
      </c>
      <c r="O833" s="56"/>
    </row>
    <row r="834" spans="1:15" ht="15" customHeight="1" x14ac:dyDescent="0.25">
      <c r="A834" s="26">
        <f>IF(K834="","",MAX(A$2:A833)+1)</f>
        <v>198</v>
      </c>
      <c r="B834" s="14"/>
      <c r="C834" s="188" t="s">
        <v>283</v>
      </c>
      <c r="D834" s="5"/>
      <c r="E834" s="5"/>
      <c r="F834" s="5"/>
      <c r="G834" s="5"/>
      <c r="H834" s="5"/>
      <c r="I834" s="5"/>
      <c r="J834" s="88"/>
      <c r="K834" s="88" t="s">
        <v>60</v>
      </c>
      <c r="L834" s="54">
        <v>1</v>
      </c>
      <c r="M834" s="17"/>
      <c r="N834" s="17">
        <f t="shared" ref="N834" si="122">+M834*L834</f>
        <v>0</v>
      </c>
      <c r="O834" s="56"/>
    </row>
    <row r="835" spans="1:15" ht="15" customHeight="1" x14ac:dyDescent="0.25">
      <c r="A835" s="26">
        <f>IF(K835="","",MAX(A$2:A834)+1)</f>
        <v>199</v>
      </c>
      <c r="B835" s="14"/>
      <c r="C835" s="127" t="s">
        <v>359</v>
      </c>
      <c r="D835" s="5"/>
      <c r="E835" s="5"/>
      <c r="F835" s="5"/>
      <c r="G835" s="5"/>
      <c r="H835" s="5"/>
      <c r="I835" s="5"/>
      <c r="J835" s="88"/>
      <c r="K835" s="88" t="s">
        <v>60</v>
      </c>
      <c r="L835" s="54">
        <v>1</v>
      </c>
      <c r="M835" s="17"/>
      <c r="N835" s="17">
        <f t="shared" ref="N835:N836" si="123">+M835*L835</f>
        <v>0</v>
      </c>
      <c r="O835" s="56"/>
    </row>
    <row r="836" spans="1:15" ht="15" customHeight="1" x14ac:dyDescent="0.25">
      <c r="A836" s="26">
        <f>IF(K836="","",MAX(A$2:A835)+1)</f>
        <v>200</v>
      </c>
      <c r="B836" s="14"/>
      <c r="C836" s="188" t="s">
        <v>283</v>
      </c>
      <c r="D836" s="5"/>
      <c r="E836" s="5"/>
      <c r="F836" s="5"/>
      <c r="G836" s="5"/>
      <c r="H836" s="5"/>
      <c r="I836" s="5"/>
      <c r="J836" s="88"/>
      <c r="K836" s="88" t="s">
        <v>60</v>
      </c>
      <c r="L836" s="54">
        <v>1</v>
      </c>
      <c r="M836" s="17"/>
      <c r="N836" s="17">
        <f t="shared" si="123"/>
        <v>0</v>
      </c>
      <c r="O836" s="56"/>
    </row>
    <row r="837" spans="1:15" ht="15" customHeight="1" x14ac:dyDescent="0.25">
      <c r="A837" s="26" t="str">
        <f>IF(K837="","",MAX(A$2:A836)+1)</f>
        <v/>
      </c>
      <c r="B837" s="14"/>
      <c r="C837" s="188"/>
      <c r="D837" s="5"/>
      <c r="E837" s="5"/>
      <c r="F837" s="5"/>
      <c r="G837" s="5"/>
      <c r="H837" s="5"/>
      <c r="I837" s="5"/>
      <c r="J837" s="88"/>
      <c r="K837" s="88"/>
      <c r="L837" s="54"/>
      <c r="M837" s="17"/>
      <c r="N837" s="17"/>
      <c r="O837" s="56"/>
    </row>
    <row r="838" spans="1:15" ht="15" customHeight="1" x14ac:dyDescent="0.25">
      <c r="A838" s="26" t="str">
        <f>IF(K838="","",MAX(A$2:A837)+1)</f>
        <v/>
      </c>
      <c r="B838" s="14" t="s">
        <v>408</v>
      </c>
      <c r="C838" s="21" t="s">
        <v>431</v>
      </c>
      <c r="D838" s="5"/>
      <c r="E838" s="5"/>
      <c r="F838" s="5"/>
      <c r="G838" s="5"/>
      <c r="H838" s="5"/>
      <c r="I838" s="5"/>
      <c r="J838" s="88"/>
      <c r="K838" s="88"/>
      <c r="L838" s="17"/>
      <c r="M838" s="17"/>
      <c r="N838" s="17">
        <f t="shared" ref="N838:N843" si="124">+M838*L838</f>
        <v>0</v>
      </c>
      <c r="O838" s="56"/>
    </row>
    <row r="839" spans="1:15" ht="15" customHeight="1" x14ac:dyDescent="0.25">
      <c r="A839" s="26" t="str">
        <f>IF(K839="","",MAX(A$2:A838)+1)</f>
        <v/>
      </c>
      <c r="B839" s="14"/>
      <c r="C839" s="23" t="s">
        <v>381</v>
      </c>
      <c r="D839" s="5"/>
      <c r="E839" s="5"/>
      <c r="F839" s="5"/>
      <c r="G839" s="5"/>
      <c r="H839" s="5"/>
      <c r="I839" s="5"/>
      <c r="J839" s="88"/>
      <c r="K839" s="88"/>
      <c r="L839" s="17"/>
      <c r="M839" s="17"/>
      <c r="N839" s="17">
        <f t="shared" si="124"/>
        <v>0</v>
      </c>
      <c r="O839" s="56"/>
    </row>
    <row r="840" spans="1:15" ht="15" customHeight="1" x14ac:dyDescent="0.25">
      <c r="A840" s="26">
        <f>IF(K840="","",MAX(A$2:A839)+1)</f>
        <v>201</v>
      </c>
      <c r="B840" s="14"/>
      <c r="C840" s="127" t="s">
        <v>362</v>
      </c>
      <c r="D840" s="5"/>
      <c r="E840" s="5"/>
      <c r="F840" s="5"/>
      <c r="G840" s="5"/>
      <c r="H840" s="5"/>
      <c r="I840" s="5"/>
      <c r="J840" s="88"/>
      <c r="K840" s="88" t="s">
        <v>60</v>
      </c>
      <c r="L840" s="54">
        <v>1</v>
      </c>
      <c r="M840" s="17"/>
      <c r="N840" s="17">
        <f t="shared" si="124"/>
        <v>0</v>
      </c>
      <c r="O840" s="56"/>
    </row>
    <row r="841" spans="1:15" ht="15" customHeight="1" x14ac:dyDescent="0.25">
      <c r="A841" s="26">
        <f>IF(K841="","",MAX(A$2:A840)+1)</f>
        <v>202</v>
      </c>
      <c r="B841" s="14"/>
      <c r="C841" s="127" t="s">
        <v>364</v>
      </c>
      <c r="D841" s="5"/>
      <c r="E841" s="5"/>
      <c r="F841" s="5"/>
      <c r="G841" s="5"/>
      <c r="H841" s="5"/>
      <c r="I841" s="5"/>
      <c r="J841" s="88"/>
      <c r="K841" s="88" t="s">
        <v>60</v>
      </c>
      <c r="L841" s="54">
        <v>1</v>
      </c>
      <c r="M841" s="17"/>
      <c r="N841" s="17">
        <f t="shared" si="124"/>
        <v>0</v>
      </c>
      <c r="O841" s="56"/>
    </row>
    <row r="842" spans="1:15" ht="15" customHeight="1" x14ac:dyDescent="0.25">
      <c r="A842" s="26">
        <f>IF(K842="","",MAX(A$2:A841)+1)</f>
        <v>203</v>
      </c>
      <c r="B842" s="14"/>
      <c r="C842" s="127" t="s">
        <v>363</v>
      </c>
      <c r="D842" s="5"/>
      <c r="E842" s="5"/>
      <c r="F842" s="5"/>
      <c r="G842" s="5"/>
      <c r="H842" s="5"/>
      <c r="I842" s="5"/>
      <c r="J842" s="88"/>
      <c r="K842" s="88" t="s">
        <v>60</v>
      </c>
      <c r="L842" s="54">
        <v>1</v>
      </c>
      <c r="M842" s="17"/>
      <c r="N842" s="17">
        <f t="shared" si="124"/>
        <v>0</v>
      </c>
      <c r="O842" s="56"/>
    </row>
    <row r="843" spans="1:15" ht="15" customHeight="1" x14ac:dyDescent="0.25">
      <c r="A843" s="26">
        <f>IF(K843="","",MAX(A$2:A842)+1)</f>
        <v>204</v>
      </c>
      <c r="B843" s="14"/>
      <c r="C843" s="127" t="s">
        <v>360</v>
      </c>
      <c r="D843" s="5"/>
      <c r="E843" s="5"/>
      <c r="F843" s="5"/>
      <c r="G843" s="5"/>
      <c r="H843" s="5"/>
      <c r="I843" s="5"/>
      <c r="J843" s="88"/>
      <c r="K843" s="88" t="s">
        <v>60</v>
      </c>
      <c r="L843" s="54">
        <v>1</v>
      </c>
      <c r="M843" s="17"/>
      <c r="N843" s="17">
        <f t="shared" si="124"/>
        <v>0</v>
      </c>
      <c r="O843" s="56"/>
    </row>
    <row r="844" spans="1:15" ht="15" customHeight="1" x14ac:dyDescent="0.25">
      <c r="A844" s="26" t="str">
        <f>IF(K844="","",MAX(A$2:A843)+1)</f>
        <v/>
      </c>
      <c r="B844" s="14"/>
      <c r="C844" s="188"/>
      <c r="D844" s="5"/>
      <c r="E844" s="5"/>
      <c r="F844" s="5"/>
      <c r="G844" s="5"/>
      <c r="H844" s="5"/>
      <c r="I844" s="5"/>
      <c r="J844" s="88"/>
      <c r="K844" s="88"/>
      <c r="L844" s="17"/>
      <c r="M844" s="17"/>
      <c r="N844" s="17">
        <f>+M844*L844</f>
        <v>0</v>
      </c>
      <c r="O844" s="56"/>
    </row>
    <row r="845" spans="1:15" ht="15" customHeight="1" x14ac:dyDescent="0.25">
      <c r="A845" s="26" t="str">
        <f>IF(K845="","",MAX(A$2:A844)+1)</f>
        <v/>
      </c>
      <c r="B845" s="14" t="s">
        <v>410</v>
      </c>
      <c r="C845" s="21" t="s">
        <v>150</v>
      </c>
      <c r="D845" s="5"/>
      <c r="E845" s="6"/>
      <c r="F845" s="5"/>
      <c r="G845" s="5"/>
      <c r="H845" s="5"/>
      <c r="I845" s="5"/>
      <c r="J845" s="88"/>
      <c r="K845" s="88"/>
      <c r="L845" s="17"/>
      <c r="M845" s="17"/>
      <c r="N845" s="17">
        <f t="shared" ref="N845:N850" si="125">+M845*L845</f>
        <v>0</v>
      </c>
      <c r="O845" s="56"/>
    </row>
    <row r="846" spans="1:15" ht="15" customHeight="1" x14ac:dyDescent="0.25">
      <c r="A846" s="26" t="str">
        <f>IF(K846="","",MAX(A$2:A845)+1)</f>
        <v/>
      </c>
      <c r="B846" s="14"/>
      <c r="C846" s="128" t="s">
        <v>151</v>
      </c>
      <c r="D846" s="23"/>
      <c r="E846" s="23"/>
      <c r="F846" s="23"/>
      <c r="G846" s="23"/>
      <c r="H846" s="23"/>
      <c r="I846" s="23"/>
      <c r="J846" s="47"/>
      <c r="K846" s="88"/>
      <c r="L846" s="17"/>
      <c r="M846" s="17"/>
      <c r="N846" s="17">
        <f t="shared" si="125"/>
        <v>0</v>
      </c>
      <c r="O846" s="56"/>
    </row>
    <row r="847" spans="1:15" ht="15" customHeight="1" x14ac:dyDescent="0.25">
      <c r="A847" s="26">
        <f>IF(K847="","",MAX(A$2:A846)+1)</f>
        <v>205</v>
      </c>
      <c r="B847" s="14"/>
      <c r="C847" s="43" t="s">
        <v>121</v>
      </c>
      <c r="D847" s="23"/>
      <c r="E847" s="23"/>
      <c r="F847" s="23"/>
      <c r="G847" s="23"/>
      <c r="H847" s="23"/>
      <c r="I847" s="23"/>
      <c r="J847" s="88"/>
      <c r="K847" s="115" t="s">
        <v>75</v>
      </c>
      <c r="L847" s="54"/>
      <c r="M847" s="17"/>
      <c r="N847" s="17">
        <f t="shared" si="125"/>
        <v>0</v>
      </c>
      <c r="O847" s="56"/>
    </row>
    <row r="848" spans="1:15" ht="15" customHeight="1" collapsed="1" x14ac:dyDescent="0.25">
      <c r="A848" s="26">
        <f>IF(K848="","",MAX(A$2:A847)+1)</f>
        <v>206</v>
      </c>
      <c r="B848" s="14"/>
      <c r="C848" s="43" t="s">
        <v>122</v>
      </c>
      <c r="D848" s="23"/>
      <c r="E848" s="23"/>
      <c r="F848" s="23"/>
      <c r="G848" s="23"/>
      <c r="H848" s="23"/>
      <c r="I848" s="23"/>
      <c r="J848" s="47"/>
      <c r="K848" s="88" t="s">
        <v>60</v>
      </c>
      <c r="L848" s="54">
        <v>20</v>
      </c>
      <c r="M848" s="17"/>
      <c r="N848" s="17">
        <f t="shared" si="125"/>
        <v>0</v>
      </c>
      <c r="O848" s="56"/>
    </row>
    <row r="849" spans="1:15" s="119" customFormat="1" ht="13.15" hidden="1" customHeight="1" outlineLevel="1" x14ac:dyDescent="0.25">
      <c r="A849" s="26" t="str">
        <f>IF(K849="","",MAX(A$2:A848)+1)</f>
        <v/>
      </c>
      <c r="B849" s="205"/>
      <c r="C849" s="152" t="s">
        <v>358</v>
      </c>
      <c r="D849" s="149"/>
      <c r="E849" s="153"/>
      <c r="F849" s="153"/>
      <c r="G849" s="153"/>
      <c r="H849" s="154"/>
      <c r="I849" s="153"/>
      <c r="J849" s="155"/>
      <c r="K849" s="150"/>
      <c r="L849" s="118"/>
      <c r="M849" s="118"/>
      <c r="N849" s="118">
        <f>+M849*L849</f>
        <v>0</v>
      </c>
      <c r="O849" s="156"/>
    </row>
    <row r="850" spans="1:15" ht="13.15" customHeight="1" x14ac:dyDescent="0.25">
      <c r="A850" s="26" t="str">
        <f>IF(K850="","",MAX(A$2:A849)+1)</f>
        <v/>
      </c>
      <c r="B850" s="14"/>
      <c r="C850" s="29"/>
      <c r="J850" s="92"/>
      <c r="K850" s="88"/>
      <c r="L850" s="17"/>
      <c r="M850" s="17"/>
      <c r="N850" s="17">
        <f t="shared" si="125"/>
        <v>0</v>
      </c>
      <c r="O850" s="56"/>
    </row>
    <row r="851" spans="1:15" ht="14.45" customHeight="1" x14ac:dyDescent="0.25">
      <c r="A851" s="26" t="str">
        <f>IF(K851="","",MAX(A$2:A850)+1)</f>
        <v/>
      </c>
      <c r="B851" s="14" t="s">
        <v>411</v>
      </c>
      <c r="C851" s="21" t="s">
        <v>68</v>
      </c>
      <c r="D851" s="23"/>
      <c r="E851" s="23"/>
      <c r="F851" s="23"/>
      <c r="G851" s="23"/>
      <c r="H851" s="23"/>
      <c r="I851" s="23"/>
      <c r="J851" s="47"/>
      <c r="K851" s="88"/>
      <c r="L851" s="54"/>
      <c r="M851" s="17"/>
      <c r="N851" s="17"/>
      <c r="O851" s="56"/>
    </row>
    <row r="852" spans="1:15" ht="15" customHeight="1" x14ac:dyDescent="0.25">
      <c r="A852" s="26" t="str">
        <f>IF(K852="","",MAX(A$2:A851)+1)</f>
        <v/>
      </c>
      <c r="B852" s="14"/>
      <c r="C852" s="23" t="s">
        <v>368</v>
      </c>
      <c r="D852" s="23"/>
      <c r="E852" s="23"/>
      <c r="F852" s="23"/>
      <c r="G852" s="23"/>
      <c r="H852" s="23"/>
      <c r="I852" s="23"/>
      <c r="J852" s="47"/>
      <c r="K852" s="88"/>
      <c r="L852" s="54"/>
      <c r="M852" s="17"/>
      <c r="N852" s="17"/>
      <c r="O852" s="56"/>
    </row>
    <row r="853" spans="1:15" ht="15" customHeight="1" x14ac:dyDescent="0.25">
      <c r="A853" s="26">
        <f>IF(K853="","",MAX(A$2:A852)+1)</f>
        <v>207</v>
      </c>
      <c r="B853" s="14"/>
      <c r="C853" s="43" t="s">
        <v>184</v>
      </c>
      <c r="D853" s="23"/>
      <c r="E853" s="23"/>
      <c r="F853" s="23"/>
      <c r="G853" s="23"/>
      <c r="H853" s="23"/>
      <c r="I853" s="23"/>
      <c r="J853" s="47"/>
      <c r="K853" s="88" t="s">
        <v>60</v>
      </c>
      <c r="L853" s="54">
        <v>29</v>
      </c>
      <c r="M853" s="17"/>
      <c r="N853" s="17">
        <f>M853*L853</f>
        <v>0</v>
      </c>
      <c r="O853" s="56"/>
    </row>
    <row r="854" spans="1:15" ht="15" customHeight="1" x14ac:dyDescent="0.25">
      <c r="A854" s="26">
        <f>IF(K854="","",MAX(A$2:A853)+1)</f>
        <v>208</v>
      </c>
      <c r="B854" s="14"/>
      <c r="C854" s="43" t="s">
        <v>185</v>
      </c>
      <c r="D854" s="23"/>
      <c r="E854" s="23"/>
      <c r="F854" s="23"/>
      <c r="G854" s="23"/>
      <c r="H854" s="23"/>
      <c r="I854" s="23"/>
      <c r="J854" s="47"/>
      <c r="K854" s="88" t="s">
        <v>60</v>
      </c>
      <c r="L854" s="54">
        <v>20</v>
      </c>
      <c r="M854" s="17"/>
      <c r="N854" s="17">
        <f>M854*L854</f>
        <v>0</v>
      </c>
      <c r="O854" s="56"/>
    </row>
    <row r="855" spans="1:15" ht="12.6" customHeight="1" x14ac:dyDescent="0.25">
      <c r="A855" s="26" t="str">
        <f>IF(K855="","",MAX(A$2:A854)+1)</f>
        <v/>
      </c>
      <c r="B855" s="14"/>
      <c r="C855" s="21"/>
      <c r="D855" s="23"/>
      <c r="E855" s="23"/>
      <c r="F855" s="23"/>
      <c r="G855" s="23"/>
      <c r="H855" s="23"/>
      <c r="I855" s="23"/>
      <c r="J855" s="47"/>
      <c r="K855" s="88"/>
      <c r="L855" s="54"/>
      <c r="M855" s="17"/>
      <c r="N855" s="17"/>
      <c r="O855" s="56"/>
    </row>
    <row r="856" spans="1:15" ht="15" customHeight="1" x14ac:dyDescent="0.25">
      <c r="A856" s="26" t="str">
        <f>IF(K856="","",MAX(A$2:A855)+1)</f>
        <v/>
      </c>
      <c r="B856" s="14" t="s">
        <v>412</v>
      </c>
      <c r="C856" s="21" t="s">
        <v>69</v>
      </c>
      <c r="D856" s="23"/>
      <c r="E856" s="23"/>
      <c r="F856" s="23"/>
      <c r="G856" s="23"/>
      <c r="H856" s="23"/>
      <c r="I856" s="23"/>
      <c r="J856" s="47"/>
      <c r="K856" s="88"/>
      <c r="L856" s="54"/>
      <c r="M856" s="17"/>
      <c r="N856" s="17"/>
      <c r="O856" s="56"/>
    </row>
    <row r="857" spans="1:15" ht="15" customHeight="1" x14ac:dyDescent="0.25">
      <c r="A857" s="26">
        <f>IF(K857="","",MAX(A$2:A856)+1)</f>
        <v>209</v>
      </c>
      <c r="B857" s="14"/>
      <c r="C857" s="23" t="s">
        <v>183</v>
      </c>
      <c r="D857" s="23"/>
      <c r="E857" s="23"/>
      <c r="F857" s="23"/>
      <c r="G857" s="23"/>
      <c r="H857" s="23"/>
      <c r="I857" s="23"/>
      <c r="J857" s="47"/>
      <c r="K857" s="88" t="s">
        <v>60</v>
      </c>
      <c r="L857" s="54">
        <v>7</v>
      </c>
      <c r="M857" s="17"/>
      <c r="N857" s="17">
        <f>M857*L857</f>
        <v>0</v>
      </c>
      <c r="O857" s="56"/>
    </row>
    <row r="858" spans="1:15" ht="11.45" customHeight="1" x14ac:dyDescent="0.25">
      <c r="A858" s="26" t="str">
        <f>IF(K858="","",MAX(A$2:A857)+1)</f>
        <v/>
      </c>
      <c r="B858" s="14"/>
      <c r="C858" s="29"/>
      <c r="J858" s="92"/>
      <c r="K858" s="88"/>
      <c r="L858" s="17"/>
      <c r="M858" s="17"/>
      <c r="N858" s="17"/>
      <c r="O858" s="56"/>
    </row>
    <row r="859" spans="1:15" ht="15" customHeight="1" x14ac:dyDescent="0.25">
      <c r="A859" s="26" t="str">
        <f>IF(K859="","",MAX(A$2:A858)+1)</f>
        <v/>
      </c>
      <c r="B859" s="14" t="s">
        <v>420</v>
      </c>
      <c r="C859" s="21" t="s">
        <v>186</v>
      </c>
      <c r="D859" s="23"/>
      <c r="E859" s="23"/>
      <c r="F859" s="23"/>
      <c r="G859" s="23"/>
      <c r="H859" s="23"/>
      <c r="I859" s="23"/>
      <c r="J859" s="47"/>
      <c r="K859" s="88"/>
      <c r="L859" s="17"/>
      <c r="M859" s="17"/>
      <c r="N859" s="17">
        <f>M859*L859</f>
        <v>0</v>
      </c>
      <c r="O859" s="56"/>
    </row>
    <row r="860" spans="1:15" ht="15" customHeight="1" x14ac:dyDescent="0.25">
      <c r="A860" s="26" t="str">
        <f>IF(K860="","",MAX(A$2:A859)+1)</f>
        <v/>
      </c>
      <c r="B860" s="14"/>
      <c r="C860" s="23" t="s">
        <v>187</v>
      </c>
      <c r="D860" s="23"/>
      <c r="E860" s="23"/>
      <c r="F860" s="23"/>
      <c r="G860" s="23"/>
      <c r="H860" s="23"/>
      <c r="I860" s="23"/>
      <c r="J860" s="47"/>
      <c r="K860" s="88"/>
      <c r="L860" s="54"/>
      <c r="M860" s="17"/>
      <c r="N860" s="17"/>
      <c r="O860" s="56"/>
    </row>
    <row r="861" spans="1:15" ht="15" customHeight="1" x14ac:dyDescent="0.25">
      <c r="A861" s="26">
        <f>IF(K861="","",MAX(A$2:A860)+1)</f>
        <v>210</v>
      </c>
      <c r="B861" s="14"/>
      <c r="C861" s="43" t="s">
        <v>432</v>
      </c>
      <c r="D861" s="23"/>
      <c r="E861" s="23"/>
      <c r="F861" s="23"/>
      <c r="G861" s="23"/>
      <c r="H861" s="23"/>
      <c r="I861" s="23"/>
      <c r="J861" s="47"/>
      <c r="K861" s="88" t="s">
        <v>15</v>
      </c>
      <c r="L861" s="54">
        <v>1</v>
      </c>
      <c r="M861" s="17"/>
      <c r="N861" s="17">
        <f>M861*L861</f>
        <v>0</v>
      </c>
      <c r="O861" s="56"/>
    </row>
    <row r="862" spans="1:15" ht="15" customHeight="1" x14ac:dyDescent="0.25">
      <c r="A862" s="26">
        <f>IF(K862="","",MAX(A$2:A861)+1)</f>
        <v>211</v>
      </c>
      <c r="B862" s="14"/>
      <c r="C862" s="43" t="s">
        <v>433</v>
      </c>
      <c r="D862" s="23"/>
      <c r="E862" s="23"/>
      <c r="F862" s="23"/>
      <c r="G862" s="23"/>
      <c r="H862" s="23"/>
      <c r="I862" s="23"/>
      <c r="J862" s="47"/>
      <c r="K862" s="88" t="s">
        <v>15</v>
      </c>
      <c r="L862" s="54">
        <v>1</v>
      </c>
      <c r="M862" s="17"/>
      <c r="N862" s="17">
        <f>M862*L862</f>
        <v>0</v>
      </c>
      <c r="O862" s="56"/>
    </row>
    <row r="863" spans="1:15" ht="14.45" customHeight="1" x14ac:dyDescent="0.25">
      <c r="A863" s="26" t="str">
        <f>IF(K863="","",MAX(A$2:A862)+1)</f>
        <v/>
      </c>
      <c r="B863" s="14"/>
      <c r="C863" s="29"/>
      <c r="J863" s="92"/>
      <c r="K863" s="88"/>
      <c r="L863" s="17"/>
      <c r="M863" s="17"/>
      <c r="N863" s="17">
        <f t="shared" ref="N863" si="126">+M863*L863</f>
        <v>0</v>
      </c>
      <c r="O863" s="56"/>
    </row>
    <row r="864" spans="1:15" ht="15" customHeight="1" x14ac:dyDescent="0.25">
      <c r="A864" s="26" t="str">
        <f>IF(K864="","",MAX(A$2:A863)+1)</f>
        <v/>
      </c>
      <c r="B864" s="14" t="s">
        <v>413</v>
      </c>
      <c r="C864" s="21" t="s">
        <v>370</v>
      </c>
      <c r="D864" s="106"/>
      <c r="E864" s="106"/>
      <c r="F864" s="106"/>
      <c r="G864" s="106"/>
      <c r="H864" s="106"/>
      <c r="I864" s="106"/>
      <c r="J864" s="107"/>
      <c r="K864" s="88"/>
      <c r="L864" s="54"/>
      <c r="M864" s="17"/>
      <c r="N864" s="17"/>
      <c r="O864" s="56"/>
    </row>
    <row r="865" spans="1:16" ht="15" customHeight="1" collapsed="1" x14ac:dyDescent="0.25">
      <c r="A865" s="26">
        <f>IF(K865="","",MAX(A$2:A864)+1)</f>
        <v>212</v>
      </c>
      <c r="B865" s="14"/>
      <c r="C865" s="23" t="s">
        <v>371</v>
      </c>
      <c r="D865" s="106"/>
      <c r="E865" s="106"/>
      <c r="F865" s="106"/>
      <c r="G865" s="106"/>
      <c r="H865" s="106"/>
      <c r="I865" s="106"/>
      <c r="J865" s="107"/>
      <c r="K865" s="88" t="s">
        <v>27</v>
      </c>
      <c r="L865" s="17">
        <f>+ROUNDUP(I868,)</f>
        <v>21</v>
      </c>
      <c r="M865" s="17"/>
      <c r="N865" s="17">
        <f t="shared" ref="N865:N876" si="127">+M865*L865</f>
        <v>0</v>
      </c>
      <c r="O865" s="56"/>
    </row>
    <row r="866" spans="1:16" s="119" customFormat="1" ht="13.15" hidden="1" customHeight="1" outlineLevel="1" x14ac:dyDescent="0.25">
      <c r="A866" s="26" t="str">
        <f>IF(K866="","",MAX(A$2:A865)+1)</f>
        <v/>
      </c>
      <c r="B866" s="205"/>
      <c r="C866" s="152" t="s">
        <v>213</v>
      </c>
      <c r="D866" s="117"/>
      <c r="E866" s="117"/>
      <c r="F866" s="117"/>
      <c r="G866" s="117"/>
      <c r="H866" s="117" t="s">
        <v>12</v>
      </c>
      <c r="I866" s="63">
        <v>6.4</v>
      </c>
      <c r="J866" s="170"/>
      <c r="K866" s="150"/>
      <c r="L866" s="118"/>
      <c r="M866" s="118"/>
      <c r="N866" s="118"/>
      <c r="O866" s="151"/>
    </row>
    <row r="867" spans="1:16" s="119" customFormat="1" ht="13.15" hidden="1" customHeight="1" outlineLevel="1" x14ac:dyDescent="0.25">
      <c r="A867" s="26" t="str">
        <f>IF(K867="","",MAX(A$2:A866)+1)</f>
        <v/>
      </c>
      <c r="B867" s="205"/>
      <c r="C867" s="152" t="s">
        <v>203</v>
      </c>
      <c r="D867" s="117"/>
      <c r="E867" s="117"/>
      <c r="F867" s="117"/>
      <c r="G867" s="117"/>
      <c r="H867" s="117" t="s">
        <v>12</v>
      </c>
      <c r="I867" s="63">
        <v>14.3</v>
      </c>
      <c r="J867" s="170"/>
      <c r="K867" s="150"/>
      <c r="L867" s="118"/>
      <c r="M867" s="118"/>
      <c r="N867" s="118"/>
      <c r="O867" s="151"/>
    </row>
    <row r="868" spans="1:16" s="119" customFormat="1" ht="13.15" hidden="1" customHeight="1" outlineLevel="1" x14ac:dyDescent="0.25">
      <c r="A868" s="26" t="str">
        <f>IF(K868="","",MAX(A$2:A867)+1)</f>
        <v/>
      </c>
      <c r="B868" s="205"/>
      <c r="C868" s="152"/>
      <c r="D868" s="117"/>
      <c r="E868" s="117"/>
      <c r="F868" s="117"/>
      <c r="G868" s="117"/>
      <c r="H868" s="117"/>
      <c r="I868" s="171">
        <f>SUM(I866:I867)</f>
        <v>20.700000000000003</v>
      </c>
      <c r="J868" s="170"/>
      <c r="K868" s="150"/>
      <c r="L868" s="118"/>
      <c r="M868" s="118"/>
      <c r="N868" s="118"/>
      <c r="O868" s="151"/>
    </row>
    <row r="869" spans="1:16" ht="15" customHeight="1" x14ac:dyDescent="0.25">
      <c r="A869" s="26" t="str">
        <f>IF(K869="","",MAX(A$2:A868)+1)</f>
        <v/>
      </c>
      <c r="B869" s="14"/>
      <c r="C869" s="43"/>
      <c r="D869" s="106"/>
      <c r="E869" s="106"/>
      <c r="F869" s="106"/>
      <c r="G869" s="106"/>
      <c r="H869" s="106"/>
      <c r="I869" s="106"/>
      <c r="J869" s="107"/>
      <c r="K869" s="88"/>
      <c r="L869" s="54"/>
      <c r="M869" s="17"/>
      <c r="N869" s="17">
        <f t="shared" si="127"/>
        <v>0</v>
      </c>
      <c r="O869" s="56"/>
    </row>
    <row r="870" spans="1:16" ht="15" customHeight="1" x14ac:dyDescent="0.25">
      <c r="A870" s="26" t="str">
        <f>IF(K870="","",MAX(A$2:A869)+1)</f>
        <v/>
      </c>
      <c r="B870" s="14" t="s">
        <v>414</v>
      </c>
      <c r="C870" s="21" t="s">
        <v>48</v>
      </c>
      <c r="D870" s="5"/>
      <c r="E870" s="5"/>
      <c r="F870" s="5"/>
      <c r="G870" s="5"/>
      <c r="H870" s="5"/>
      <c r="I870" s="5"/>
      <c r="J870" s="88"/>
      <c r="K870" s="88"/>
      <c r="L870" s="17"/>
      <c r="M870" s="17"/>
      <c r="N870" s="17">
        <f t="shared" si="127"/>
        <v>0</v>
      </c>
      <c r="O870" s="56"/>
    </row>
    <row r="871" spans="1:16" ht="15" customHeight="1" collapsed="1" x14ac:dyDescent="0.25">
      <c r="A871" s="26">
        <f>IF(K871="","",MAX(A$2:A870)+1)</f>
        <v>213</v>
      </c>
      <c r="B871" s="14"/>
      <c r="C871" s="43" t="s">
        <v>372</v>
      </c>
      <c r="D871" s="106"/>
      <c r="E871" s="106"/>
      <c r="F871" s="106"/>
      <c r="G871" s="106"/>
      <c r="H871" s="106"/>
      <c r="I871" s="106"/>
      <c r="J871" s="107"/>
      <c r="K871" s="88" t="s">
        <v>27</v>
      </c>
      <c r="L871" s="17">
        <f>+ROUNDUP(I875,)</f>
        <v>30</v>
      </c>
      <c r="M871" s="17"/>
      <c r="N871" s="17">
        <f>+M871*L871</f>
        <v>0</v>
      </c>
      <c r="O871" s="56"/>
      <c r="P871" s="64"/>
    </row>
    <row r="872" spans="1:16" s="119" customFormat="1" ht="13.15" hidden="1" customHeight="1" outlineLevel="1" x14ac:dyDescent="0.25">
      <c r="A872" s="26" t="str">
        <f>IF(K872="","",MAX(A$2:A871)+1)</f>
        <v/>
      </c>
      <c r="B872" s="205"/>
      <c r="C872" s="152" t="s">
        <v>213</v>
      </c>
      <c r="D872" s="117"/>
      <c r="E872" s="117"/>
      <c r="F872" s="117"/>
      <c r="G872" s="117"/>
      <c r="H872" s="117" t="s">
        <v>12</v>
      </c>
      <c r="I872" s="63">
        <v>7.4</v>
      </c>
      <c r="J872" s="170"/>
      <c r="K872" s="150"/>
      <c r="L872" s="118"/>
      <c r="M872" s="118"/>
      <c r="N872" s="118"/>
      <c r="O872" s="151"/>
    </row>
    <row r="873" spans="1:16" s="119" customFormat="1" ht="13.15" hidden="1" customHeight="1" outlineLevel="1" x14ac:dyDescent="0.25">
      <c r="A873" s="26" t="str">
        <f>IF(K873="","",MAX(A$2:A872)+1)</f>
        <v/>
      </c>
      <c r="B873" s="205"/>
      <c r="C873" s="152" t="s">
        <v>203</v>
      </c>
      <c r="D873" s="117"/>
      <c r="E873" s="117"/>
      <c r="F873" s="117"/>
      <c r="G873" s="117"/>
      <c r="H873" s="117" t="s">
        <v>12</v>
      </c>
      <c r="I873" s="63">
        <f>9.1+4</f>
        <v>13.1</v>
      </c>
      <c r="J873" s="170"/>
      <c r="K873" s="150"/>
      <c r="L873" s="118"/>
      <c r="M873" s="118"/>
      <c r="N873" s="118"/>
      <c r="O873" s="151"/>
    </row>
    <row r="874" spans="1:16" s="119" customFormat="1" ht="13.15" hidden="1" customHeight="1" outlineLevel="1" x14ac:dyDescent="0.25">
      <c r="A874" s="26" t="str">
        <f>IF(K874="","",MAX(A$2:A873)+1)</f>
        <v/>
      </c>
      <c r="B874" s="205"/>
      <c r="C874" s="152" t="s">
        <v>214</v>
      </c>
      <c r="D874" s="117"/>
      <c r="E874" s="117"/>
      <c r="F874" s="117"/>
      <c r="G874" s="117"/>
      <c r="H874" s="117" t="s">
        <v>12</v>
      </c>
      <c r="I874" s="63">
        <f>9</f>
        <v>9</v>
      </c>
      <c r="J874" s="170"/>
      <c r="K874" s="150"/>
      <c r="L874" s="118"/>
      <c r="M874" s="118"/>
      <c r="N874" s="118"/>
      <c r="O874" s="151"/>
    </row>
    <row r="875" spans="1:16" s="119" customFormat="1" ht="13.15" hidden="1" customHeight="1" outlineLevel="1" x14ac:dyDescent="0.25">
      <c r="A875" s="26" t="str">
        <f>IF(K875="","",MAX(A$2:A874)+1)</f>
        <v/>
      </c>
      <c r="B875" s="205"/>
      <c r="C875" s="152"/>
      <c r="D875" s="117"/>
      <c r="E875" s="117"/>
      <c r="F875" s="117"/>
      <c r="G875" s="117"/>
      <c r="H875" s="117"/>
      <c r="I875" s="171">
        <f>SUM(I872:I874)</f>
        <v>29.5</v>
      </c>
      <c r="J875" s="170"/>
      <c r="K875" s="150"/>
      <c r="L875" s="118"/>
      <c r="M875" s="118"/>
      <c r="N875" s="118"/>
      <c r="O875" s="151"/>
    </row>
    <row r="876" spans="1:16" ht="15" customHeight="1" x14ac:dyDescent="0.25">
      <c r="A876" s="26">
        <f>IF(K876="","",MAX(A$2:A875)+1)</f>
        <v>214</v>
      </c>
      <c r="B876" s="14"/>
      <c r="C876" s="43" t="s">
        <v>49</v>
      </c>
      <c r="D876" s="106"/>
      <c r="E876" s="106"/>
      <c r="F876" s="106"/>
      <c r="G876" s="106"/>
      <c r="H876" s="106"/>
      <c r="I876" s="106"/>
      <c r="J876" s="107"/>
      <c r="K876" s="88" t="s">
        <v>60</v>
      </c>
      <c r="L876" s="54">
        <v>3</v>
      </c>
      <c r="M876" s="17"/>
      <c r="N876" s="17">
        <f t="shared" si="127"/>
        <v>0</v>
      </c>
      <c r="O876" s="56"/>
    </row>
    <row r="877" spans="1:16" ht="15" customHeight="1" x14ac:dyDescent="0.25">
      <c r="A877" s="26">
        <f>IF(K877="","",MAX(A$2:A876)+1)</f>
        <v>215</v>
      </c>
      <c r="B877" s="14" t="s">
        <v>415</v>
      </c>
      <c r="C877" s="43" t="s">
        <v>136</v>
      </c>
      <c r="D877" s="106"/>
      <c r="E877" s="106"/>
      <c r="F877" s="106"/>
      <c r="G877" s="106"/>
      <c r="H877" s="106"/>
      <c r="I877" s="106"/>
      <c r="J877" s="107"/>
      <c r="K877" s="88" t="s">
        <v>60</v>
      </c>
      <c r="L877" s="54">
        <v>1</v>
      </c>
      <c r="M877" s="17"/>
      <c r="N877" s="17">
        <f>+M877*L877</f>
        <v>0</v>
      </c>
      <c r="O877" s="56"/>
    </row>
    <row r="878" spans="1:16" ht="12.6" customHeight="1" x14ac:dyDescent="0.25">
      <c r="A878" s="26" t="str">
        <f>IF(K878="","",MAX(A$2:A877)+1)</f>
        <v/>
      </c>
      <c r="B878" s="14"/>
      <c r="C878" s="43"/>
      <c r="D878" s="106"/>
      <c r="E878" s="106"/>
      <c r="F878" s="106"/>
      <c r="G878" s="106"/>
      <c r="H878" s="106"/>
      <c r="I878" s="106"/>
      <c r="J878" s="107"/>
      <c r="K878" s="88"/>
      <c r="L878" s="54"/>
      <c r="M878" s="17"/>
      <c r="N878" s="17"/>
      <c r="O878" s="56"/>
    </row>
    <row r="879" spans="1:16" ht="15" customHeight="1" x14ac:dyDescent="0.25">
      <c r="A879" s="26" t="str">
        <f>IF(K879="","",MAX(A$2:A878)+1)</f>
        <v/>
      </c>
      <c r="B879" s="14" t="s">
        <v>416</v>
      </c>
      <c r="C879" s="21" t="s">
        <v>51</v>
      </c>
      <c r="D879" s="5"/>
      <c r="E879" s="5"/>
      <c r="F879" s="5"/>
      <c r="G879" s="5"/>
      <c r="H879" s="5"/>
      <c r="I879" s="5"/>
      <c r="J879" s="88"/>
      <c r="K879" s="88"/>
      <c r="L879" s="17"/>
      <c r="M879" s="17"/>
      <c r="N879" s="17">
        <f t="shared" ref="N879:N885" si="128">+M879*L879</f>
        <v>0</v>
      </c>
      <c r="O879" s="56"/>
    </row>
    <row r="880" spans="1:16" ht="15" customHeight="1" x14ac:dyDescent="0.25">
      <c r="A880" s="26" t="str">
        <f>IF(K880="","",MAX(A$2:A879)+1)</f>
        <v/>
      </c>
      <c r="B880" s="14"/>
      <c r="C880" s="23" t="s">
        <v>152</v>
      </c>
      <c r="D880" s="5"/>
      <c r="E880" s="5"/>
      <c r="F880" s="5"/>
      <c r="G880" s="5"/>
      <c r="H880" s="5"/>
      <c r="I880" s="5"/>
      <c r="J880" s="88"/>
      <c r="K880" s="88"/>
      <c r="L880" s="17"/>
      <c r="M880" s="17"/>
      <c r="N880" s="17">
        <f t="shared" si="128"/>
        <v>0</v>
      </c>
      <c r="O880" s="56"/>
    </row>
    <row r="881" spans="1:16" ht="15" customHeight="1" x14ac:dyDescent="0.25">
      <c r="A881" s="26">
        <f>IF(K881="","",MAX(A$2:A880)+1)</f>
        <v>216</v>
      </c>
      <c r="B881" s="14"/>
      <c r="C881" s="43" t="s">
        <v>192</v>
      </c>
      <c r="D881" s="5"/>
      <c r="E881" s="5"/>
      <c r="F881" s="5"/>
      <c r="G881" s="5"/>
      <c r="H881" s="5"/>
      <c r="I881" s="5"/>
      <c r="J881" s="88"/>
      <c r="K881" s="88" t="s">
        <v>10</v>
      </c>
      <c r="L881" s="17">
        <v>1</v>
      </c>
      <c r="M881" s="17"/>
      <c r="N881" s="17">
        <f t="shared" ref="N881" si="129">+M881*L881</f>
        <v>0</v>
      </c>
      <c r="O881" s="56"/>
    </row>
    <row r="882" spans="1:16" ht="15" customHeight="1" x14ac:dyDescent="0.25">
      <c r="A882" s="26">
        <f>IF(K882="","",MAX(A$2:A881)+1)</f>
        <v>217</v>
      </c>
      <c r="B882" s="14"/>
      <c r="C882" s="43" t="s">
        <v>153</v>
      </c>
      <c r="D882" s="5"/>
      <c r="E882" s="5"/>
      <c r="F882" s="5"/>
      <c r="G882" s="5"/>
      <c r="H882" s="5"/>
      <c r="I882" s="5"/>
      <c r="J882" s="88"/>
      <c r="K882" s="88" t="s">
        <v>60</v>
      </c>
      <c r="L882" s="54">
        <v>15</v>
      </c>
      <c r="M882" s="17"/>
      <c r="N882" s="17">
        <f t="shared" si="128"/>
        <v>0</v>
      </c>
      <c r="O882" s="56"/>
    </row>
    <row r="883" spans="1:16" ht="15" customHeight="1" x14ac:dyDescent="0.25">
      <c r="A883" s="26">
        <f>IF(K883="","",MAX(A$2:A882)+1)</f>
        <v>218</v>
      </c>
      <c r="B883" s="14"/>
      <c r="C883" s="43" t="s">
        <v>154</v>
      </c>
      <c r="D883" s="5"/>
      <c r="E883" s="5"/>
      <c r="F883" s="5"/>
      <c r="G883" s="5"/>
      <c r="H883" s="5"/>
      <c r="I883" s="5"/>
      <c r="J883" s="88"/>
      <c r="K883" s="88" t="s">
        <v>27</v>
      </c>
      <c r="L883" s="17">
        <v>140</v>
      </c>
      <c r="M883" s="17"/>
      <c r="N883" s="17">
        <f t="shared" si="128"/>
        <v>0</v>
      </c>
      <c r="O883" s="56"/>
    </row>
    <row r="884" spans="1:16" ht="15" customHeight="1" x14ac:dyDescent="0.25">
      <c r="A884" s="26">
        <f>IF(K884="","",MAX(A$2:A883)+1)</f>
        <v>219</v>
      </c>
      <c r="B884" s="14"/>
      <c r="C884" s="43" t="s">
        <v>155</v>
      </c>
      <c r="D884" s="5"/>
      <c r="E884" s="5"/>
      <c r="F884" s="5"/>
      <c r="G884" s="5"/>
      <c r="H884" s="5"/>
      <c r="I884" s="5"/>
      <c r="J884" s="88"/>
      <c r="K884" s="88" t="s">
        <v>10</v>
      </c>
      <c r="L884" s="17">
        <v>1</v>
      </c>
      <c r="M884" s="17"/>
      <c r="N884" s="17">
        <f>+M884*L884</f>
        <v>0</v>
      </c>
      <c r="O884" s="56"/>
    </row>
    <row r="885" spans="1:16" ht="13.15" customHeight="1" x14ac:dyDescent="0.25">
      <c r="A885" s="26" t="str">
        <f>IF(K885="","",MAX(A$2:A884)+1)</f>
        <v/>
      </c>
      <c r="B885" s="14"/>
      <c r="C885" s="21"/>
      <c r="D885" s="5"/>
      <c r="E885" s="5"/>
      <c r="F885" s="5"/>
      <c r="G885" s="5"/>
      <c r="H885" s="5"/>
      <c r="I885" s="5"/>
      <c r="J885" s="88"/>
      <c r="K885" s="88"/>
      <c r="L885" s="17"/>
      <c r="M885" s="17"/>
      <c r="N885" s="17">
        <f t="shared" si="128"/>
        <v>0</v>
      </c>
      <c r="O885" s="56"/>
      <c r="P885" s="55"/>
    </row>
    <row r="886" spans="1:16" ht="14.45" customHeight="1" x14ac:dyDescent="0.25">
      <c r="A886" s="26" t="str">
        <f>IF(K886="","",MAX(A$2:A885)+1)</f>
        <v/>
      </c>
      <c r="B886" s="14" t="s">
        <v>417</v>
      </c>
      <c r="C886" s="21" t="s">
        <v>139</v>
      </c>
      <c r="D886" s="23"/>
      <c r="E886" s="23"/>
      <c r="F886" s="23"/>
      <c r="G886" s="23"/>
      <c r="H886" s="23"/>
      <c r="I886" s="23"/>
      <c r="J886" s="47"/>
      <c r="K886" s="88"/>
      <c r="L886" s="54"/>
      <c r="M886" s="17"/>
      <c r="N886" s="17"/>
      <c r="O886" s="56"/>
    </row>
    <row r="887" spans="1:16" ht="15" customHeight="1" x14ac:dyDescent="0.25">
      <c r="A887" s="26">
        <f>IF(K887="","",MAX(A$2:A886)+1)</f>
        <v>220</v>
      </c>
      <c r="B887" s="14"/>
      <c r="C887" s="23" t="s">
        <v>220</v>
      </c>
      <c r="D887" s="23"/>
      <c r="E887" s="23"/>
      <c r="F887" s="23"/>
      <c r="G887" s="23"/>
      <c r="H887" s="23"/>
      <c r="I887" s="23"/>
      <c r="J887" s="47"/>
      <c r="K887" s="88" t="s">
        <v>27</v>
      </c>
      <c r="L887" s="17">
        <v>35</v>
      </c>
      <c r="M887" s="17"/>
      <c r="N887" s="17">
        <f>M887*L887</f>
        <v>0</v>
      </c>
      <c r="O887" s="56"/>
    </row>
    <row r="888" spans="1:16" ht="13.9" customHeight="1" x14ac:dyDescent="0.25">
      <c r="A888" s="26" t="str">
        <f>IF(K888="","",MAX(A$2:A887)+1)</f>
        <v/>
      </c>
      <c r="B888" s="14"/>
      <c r="C888" s="23"/>
      <c r="D888" s="23"/>
      <c r="E888" s="23"/>
      <c r="F888" s="23"/>
      <c r="G888" s="23"/>
      <c r="H888" s="23"/>
      <c r="I888" s="23"/>
      <c r="J888" s="47"/>
      <c r="K888" s="88"/>
      <c r="L888" s="17"/>
      <c r="M888" s="17"/>
      <c r="N888" s="17">
        <f t="shared" ref="N888" si="130">M888*L888</f>
        <v>0</v>
      </c>
      <c r="O888" s="56"/>
    </row>
    <row r="889" spans="1:16" ht="15" customHeight="1" x14ac:dyDescent="0.25">
      <c r="A889" s="26" t="str">
        <f>IF(K889="","",MAX(A$2:A888)+1)</f>
        <v/>
      </c>
      <c r="B889" s="14" t="s">
        <v>419</v>
      </c>
      <c r="C889" s="21" t="s">
        <v>191</v>
      </c>
      <c r="D889" s="5"/>
      <c r="E889" s="5"/>
      <c r="F889" s="5"/>
      <c r="G889" s="5"/>
      <c r="H889" s="5"/>
      <c r="I889" s="5"/>
      <c r="J889" s="88"/>
      <c r="K889" s="88"/>
      <c r="L889" s="17"/>
      <c r="M889" s="17"/>
      <c r="N889" s="17">
        <f t="shared" ref="N889" si="131">+M889*L889</f>
        <v>0</v>
      </c>
      <c r="O889" s="56"/>
    </row>
    <row r="890" spans="1:16" ht="15" customHeight="1" x14ac:dyDescent="0.25">
      <c r="A890" s="26">
        <f>IF(K890="","",MAX(A$2:A889)+1)</f>
        <v>221</v>
      </c>
      <c r="B890" s="14"/>
      <c r="C890" s="43" t="s">
        <v>421</v>
      </c>
      <c r="D890" s="5"/>
      <c r="E890" s="5"/>
      <c r="F890" s="5"/>
      <c r="G890" s="5"/>
      <c r="H890" s="125"/>
      <c r="I890" s="125"/>
      <c r="J890" s="88"/>
      <c r="K890" s="88" t="s">
        <v>10</v>
      </c>
      <c r="L890" s="17">
        <v>1</v>
      </c>
      <c r="M890" s="17"/>
      <c r="N890" s="17">
        <f>+M890*L890</f>
        <v>0</v>
      </c>
      <c r="O890" s="56"/>
    </row>
    <row r="891" spans="1:16" ht="15" customHeight="1" x14ac:dyDescent="0.25">
      <c r="A891" s="26">
        <f>IF(K891="","",MAX(A$2:A890)+1)</f>
        <v>222</v>
      </c>
      <c r="B891" s="14"/>
      <c r="C891" s="43" t="s">
        <v>219</v>
      </c>
      <c r="D891" s="5"/>
      <c r="E891" s="5"/>
      <c r="F891" s="5"/>
      <c r="G891" s="5"/>
      <c r="H891" s="125"/>
      <c r="I891" s="125"/>
      <c r="J891" s="88"/>
      <c r="K891" s="88" t="s">
        <v>10</v>
      </c>
      <c r="L891" s="17">
        <v>1</v>
      </c>
      <c r="M891" s="17"/>
      <c r="N891" s="17">
        <f>+M891*L891</f>
        <v>0</v>
      </c>
      <c r="O891" s="56"/>
    </row>
    <row r="892" spans="1:16" ht="15" customHeight="1" x14ac:dyDescent="0.25">
      <c r="A892" s="26" t="str">
        <f>IF(K892="","",MAX(A$2:A891)+1)</f>
        <v/>
      </c>
      <c r="B892" s="14"/>
      <c r="C892" s="43" t="s">
        <v>215</v>
      </c>
      <c r="D892" s="5"/>
      <c r="E892" s="5"/>
      <c r="F892" s="5"/>
      <c r="G892" s="5"/>
      <c r="H892" s="125"/>
      <c r="I892" s="125"/>
      <c r="J892" s="88"/>
      <c r="K892" s="88"/>
      <c r="L892" s="17"/>
      <c r="M892" s="17"/>
      <c r="N892" s="17">
        <f t="shared" ref="N892:N895" si="132">+M892*L892</f>
        <v>0</v>
      </c>
      <c r="O892" s="56"/>
    </row>
    <row r="893" spans="1:16" ht="15" customHeight="1" x14ac:dyDescent="0.25">
      <c r="A893" s="26">
        <f>IF(K893="","",MAX(A$2:A892)+1)</f>
        <v>223</v>
      </c>
      <c r="B893" s="14"/>
      <c r="C893" s="42" t="s">
        <v>216</v>
      </c>
      <c r="D893" s="5"/>
      <c r="E893" s="5"/>
      <c r="F893" s="5"/>
      <c r="G893" s="5"/>
      <c r="H893" s="125"/>
      <c r="I893" s="125"/>
      <c r="J893" s="88"/>
      <c r="K893" s="88" t="s">
        <v>60</v>
      </c>
      <c r="L893" s="54">
        <v>2</v>
      </c>
      <c r="M893" s="17"/>
      <c r="N893" s="17">
        <f t="shared" si="132"/>
        <v>0</v>
      </c>
      <c r="O893" s="124"/>
    </row>
    <row r="894" spans="1:16" ht="15" customHeight="1" x14ac:dyDescent="0.25">
      <c r="A894" s="26">
        <f>IF(K894="","",MAX(A$2:A893)+1)</f>
        <v>224</v>
      </c>
      <c r="B894" s="14"/>
      <c r="C894" s="42" t="s">
        <v>217</v>
      </c>
      <c r="D894" s="5"/>
      <c r="E894" s="5"/>
      <c r="F894" s="5"/>
      <c r="G894" s="5"/>
      <c r="H894" s="125"/>
      <c r="I894" s="125"/>
      <c r="J894" s="88"/>
      <c r="K894" s="88" t="s">
        <v>60</v>
      </c>
      <c r="L894" s="54">
        <v>2</v>
      </c>
      <c r="M894" s="17"/>
      <c r="N894" s="17">
        <f t="shared" si="132"/>
        <v>0</v>
      </c>
      <c r="O894" s="124"/>
    </row>
    <row r="895" spans="1:16" ht="15" customHeight="1" x14ac:dyDescent="0.25">
      <c r="A895" s="26">
        <f>IF(K895="","",MAX(A$2:A894)+1)</f>
        <v>225</v>
      </c>
      <c r="B895" s="14"/>
      <c r="C895" s="42" t="s">
        <v>218</v>
      </c>
      <c r="D895" s="5"/>
      <c r="E895" s="5"/>
      <c r="F895" s="5"/>
      <c r="G895" s="5"/>
      <c r="H895" s="125"/>
      <c r="I895" s="125"/>
      <c r="J895" s="88"/>
      <c r="K895" s="88" t="s">
        <v>60</v>
      </c>
      <c r="L895" s="54">
        <v>1</v>
      </c>
      <c r="M895" s="17"/>
      <c r="N895" s="17">
        <f t="shared" si="132"/>
        <v>0</v>
      </c>
      <c r="O895" s="56"/>
    </row>
    <row r="896" spans="1:16" ht="13.15" customHeight="1" x14ac:dyDescent="0.25">
      <c r="A896" s="26" t="str">
        <f>IF(K896="","",MAX(A$2:A895)+1)</f>
        <v/>
      </c>
      <c r="B896" s="14"/>
      <c r="C896" s="21"/>
      <c r="D896" s="5"/>
      <c r="E896" s="5"/>
      <c r="F896" s="5"/>
      <c r="G896" s="5"/>
      <c r="H896" s="5"/>
      <c r="I896" s="5"/>
      <c r="J896" s="88"/>
      <c r="K896" s="88"/>
      <c r="L896" s="17"/>
      <c r="M896" s="17"/>
      <c r="N896" s="17">
        <f t="shared" ref="N896" si="133">+M896*L896</f>
        <v>0</v>
      </c>
      <c r="O896" s="56"/>
    </row>
    <row r="897" spans="1:16" ht="15" customHeight="1" x14ac:dyDescent="0.25">
      <c r="A897" s="26" t="str">
        <f>IF(K897="","",MAX(A$2:A896)+1)</f>
        <v/>
      </c>
      <c r="B897" s="14" t="s">
        <v>374</v>
      </c>
      <c r="C897" s="21" t="s">
        <v>178</v>
      </c>
      <c r="D897" s="23"/>
      <c r="E897" s="23"/>
      <c r="F897" s="23"/>
      <c r="G897" s="23"/>
      <c r="H897" s="23"/>
      <c r="I897" s="23"/>
      <c r="J897" s="47"/>
      <c r="K897" s="88"/>
      <c r="L897" s="17"/>
      <c r="M897" s="17"/>
      <c r="N897" s="17">
        <f t="shared" ref="N897" si="134">M897*L897</f>
        <v>0</v>
      </c>
      <c r="O897" s="56"/>
    </row>
    <row r="898" spans="1:16" ht="15" customHeight="1" x14ac:dyDescent="0.25">
      <c r="A898" s="26">
        <f>IF(K898="","",MAX(A$2:A897)+1)</f>
        <v>226</v>
      </c>
      <c r="B898" s="14"/>
      <c r="C898" s="43" t="s">
        <v>181</v>
      </c>
      <c r="D898" s="23"/>
      <c r="E898" s="23"/>
      <c r="F898" s="23"/>
      <c r="G898" s="23"/>
      <c r="H898" s="23"/>
      <c r="I898" s="23"/>
      <c r="J898" s="47"/>
      <c r="K898" s="88" t="s">
        <v>179</v>
      </c>
      <c r="L898" s="17">
        <v>120</v>
      </c>
      <c r="M898" s="17"/>
      <c r="N898" s="17">
        <f>M898*L898</f>
        <v>0</v>
      </c>
      <c r="O898" s="56"/>
    </row>
    <row r="899" spans="1:16" ht="15" customHeight="1" x14ac:dyDescent="0.25">
      <c r="A899" s="26">
        <f>IF(K899="","",MAX(A$2:A898)+1)</f>
        <v>227</v>
      </c>
      <c r="B899" s="14"/>
      <c r="C899" s="43" t="s">
        <v>180</v>
      </c>
      <c r="D899" s="23"/>
      <c r="E899" s="23"/>
      <c r="F899" s="23"/>
      <c r="G899" s="23"/>
      <c r="H899" s="23"/>
      <c r="I899" s="23"/>
      <c r="J899" s="47"/>
      <c r="K899" s="88" t="s">
        <v>179</v>
      </c>
      <c r="L899" s="17">
        <v>120</v>
      </c>
      <c r="M899" s="17"/>
      <c r="N899" s="17">
        <f>M899*L899</f>
        <v>0</v>
      </c>
      <c r="O899" s="56"/>
    </row>
    <row r="900" spans="1:16" s="23" customFormat="1" ht="9.6" customHeight="1" x14ac:dyDescent="0.25">
      <c r="A900" s="26" t="str">
        <f>IF(K900="","",MAX(A$2:A899)+1)</f>
        <v/>
      </c>
      <c r="B900" s="14"/>
      <c r="C900" s="18"/>
      <c r="D900" s="82"/>
      <c r="E900" s="82"/>
      <c r="F900" s="82"/>
      <c r="G900" s="82"/>
      <c r="H900" s="82"/>
      <c r="I900" s="82"/>
      <c r="J900" s="59"/>
      <c r="K900" s="89"/>
      <c r="L900" s="19"/>
      <c r="M900" s="19"/>
      <c r="N900" s="19"/>
      <c r="O900" s="5"/>
    </row>
    <row r="901" spans="1:16" s="23" customFormat="1" ht="15" customHeight="1" x14ac:dyDescent="0.25">
      <c r="A901" s="26">
        <f>IF(K901="","",MAX(A$2:A900)+1)</f>
        <v>228</v>
      </c>
      <c r="B901" s="14" t="s">
        <v>389</v>
      </c>
      <c r="C901" s="21" t="s">
        <v>382</v>
      </c>
      <c r="D901" s="82"/>
      <c r="E901" s="82"/>
      <c r="F901" s="82"/>
      <c r="G901" s="82"/>
      <c r="H901" s="82"/>
      <c r="I901" s="82"/>
      <c r="J901" s="59"/>
      <c r="K901" s="89" t="s">
        <v>10</v>
      </c>
      <c r="L901" s="19">
        <v>1</v>
      </c>
      <c r="M901" s="19"/>
      <c r="N901" s="19">
        <f t="shared" ref="N901" si="135">+M901*L901</f>
        <v>0</v>
      </c>
      <c r="O901" s="5"/>
    </row>
    <row r="902" spans="1:16" ht="4.9000000000000004" customHeight="1" x14ac:dyDescent="0.25">
      <c r="A902" s="45" t="str">
        <f>IF(K902="","",MAX(A$643:A885)+1)</f>
        <v/>
      </c>
      <c r="B902" s="28"/>
      <c r="C902" s="108"/>
      <c r="D902" s="95"/>
      <c r="E902" s="95"/>
      <c r="F902" s="95"/>
      <c r="G902" s="95"/>
      <c r="H902" s="95"/>
      <c r="I902" s="95"/>
      <c r="J902" s="90"/>
      <c r="K902" s="90"/>
      <c r="L902" s="30"/>
      <c r="M902" s="30"/>
      <c r="N902" s="30">
        <f t="shared" ref="N902" si="136">+M902*L902</f>
        <v>0</v>
      </c>
      <c r="O902" s="56"/>
      <c r="P902" s="55"/>
    </row>
    <row r="903" spans="1:16" ht="4.9000000000000004" customHeight="1" thickBot="1" x14ac:dyDescent="0.3">
      <c r="A903" s="31"/>
      <c r="B903" s="31"/>
      <c r="C903" s="32"/>
      <c r="D903" s="8"/>
      <c r="E903" s="8"/>
      <c r="F903" s="8"/>
      <c r="G903" s="8"/>
      <c r="H903" s="8"/>
      <c r="I903" s="8"/>
      <c r="J903" s="8"/>
      <c r="K903" s="33"/>
      <c r="L903" s="96"/>
      <c r="M903" s="34"/>
      <c r="N903" s="34"/>
    </row>
    <row r="904" spans="1:16" ht="21.75" customHeight="1" x14ac:dyDescent="0.25">
      <c r="H904" s="210"/>
      <c r="J904" s="208"/>
      <c r="K904" s="97" t="s">
        <v>54</v>
      </c>
      <c r="L904" s="146"/>
      <c r="M904" s="146"/>
      <c r="N904" s="137">
        <f>+SUM(N640:N902)</f>
        <v>0</v>
      </c>
    </row>
    <row r="905" spans="1:16" ht="21.75" customHeight="1" x14ac:dyDescent="0.25">
      <c r="H905" s="210"/>
      <c r="J905" s="209" t="str">
        <f>C641</f>
        <v>TRANCHE OPTIONNELLE - AILE DES MINISTRES PARTIE SUD-EST</v>
      </c>
      <c r="K905" s="98" t="s">
        <v>107</v>
      </c>
      <c r="L905" s="2"/>
      <c r="M905" s="2"/>
      <c r="N905" s="37">
        <f>N904*0.2</f>
        <v>0</v>
      </c>
    </row>
    <row r="906" spans="1:16" ht="21.75" customHeight="1" thickBot="1" x14ac:dyDescent="0.3">
      <c r="H906" s="210"/>
      <c r="J906" s="208"/>
      <c r="K906" s="99" t="s">
        <v>55</v>
      </c>
      <c r="L906" s="147"/>
      <c r="M906" s="147"/>
      <c r="N906" s="138">
        <f>N904+N905</f>
        <v>0</v>
      </c>
    </row>
  </sheetData>
  <mergeCells count="24">
    <mergeCell ref="C737:J737"/>
    <mergeCell ref="C714:J714"/>
    <mergeCell ref="C769:J769"/>
    <mergeCell ref="C524:J524"/>
    <mergeCell ref="C764:J764"/>
    <mergeCell ref="C732:J732"/>
    <mergeCell ref="C749:J749"/>
    <mergeCell ref="C641:J641"/>
    <mergeCell ref="B1:B3"/>
    <mergeCell ref="C2:J2"/>
    <mergeCell ref="C154:J154"/>
    <mergeCell ref="C658:J658"/>
    <mergeCell ref="C116:J116"/>
    <mergeCell ref="C480:J480"/>
    <mergeCell ref="C5:J5"/>
    <mergeCell ref="C7:J7"/>
    <mergeCell ref="C428:J428"/>
    <mergeCell ref="C497:J497"/>
    <mergeCell ref="C519:J519"/>
    <mergeCell ref="C24:J24"/>
    <mergeCell ref="C445:J445"/>
    <mergeCell ref="C201:J201"/>
    <mergeCell ref="C206:J206"/>
    <mergeCell ref="C501:J501"/>
  </mergeCells>
  <phoneticPr fontId="23" type="noConversion"/>
  <printOptions horizontalCentered="1"/>
  <pageMargins left="0.39370078740157483" right="0.39370078740157483" top="0.55118110236220474" bottom="0.74803149606299213" header="0.19685039370078741" footer="0.19685039370078741"/>
  <pageSetup paperSize="9" scale="87" fitToHeight="0" orientation="portrait" r:id="rId1"/>
  <headerFooter differentFirst="1" scaleWithDoc="0">
    <oddHeader>&amp;L&amp;"Arial,Normal"&amp;6 77 - Château de Fontainebleau&amp;C&amp;"Arial,Normal"&amp;6Aile des ministres - Restauration des couvertures de la partie est&amp;R&amp;"Arial,Normal"&amp;6Lot 2 Couverture</oddHeader>
    <oddFooter>&amp;C&amp;"Arial,Normal"&amp;6Document classé Interne – Toute reproduction ou transmission en dehors des destinataires autorisés est strictement interdite. © Château de Fontainebleau_x000D_&amp;1#&amp;"Calibri"&amp;8&amp;K000000 Document classé Interne – Tout&amp;R&amp;"Arial,Normal"&amp;6Page &amp;P/&amp;N</oddFooter>
    <firstFooter>&amp;C&amp;"Arial,Normal"&amp;6Document classé Interne – Toute reproduction ou transmission en dehors des destinataires autorisés est strictement interdite. © Château de Fontainebleau_x000D_&amp;1#&amp;"Calibri"&amp;8&amp;K000000 Document classé Interne – Toute reproduction ou transmissio</firstFooter>
  </headerFooter>
  <rowBreaks count="3" manualBreakCount="3">
    <brk id="639" max="16383" man="1"/>
    <brk id="837" max="13" man="1"/>
    <brk id="90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PDG</vt:lpstr>
      <vt:lpstr>Couverture</vt:lpstr>
      <vt:lpstr>Couverture!Impression_des_titres</vt:lpstr>
      <vt:lpstr>Couverture!Zone_d_impression</vt:lpstr>
      <vt:lpstr>PDG!Zone_d_impression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PC3</dc:creator>
  <cp:lastModifiedBy>Stéphanie GUIMBARD</cp:lastModifiedBy>
  <cp:lastPrinted>2025-06-26T12:05:31Z</cp:lastPrinted>
  <dcterms:created xsi:type="dcterms:W3CDTF">2018-10-04T12:52:36Z</dcterms:created>
  <dcterms:modified xsi:type="dcterms:W3CDTF">2025-07-01T07:22:49Z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a42909d-86b6-4ee5-84df-83c726b5cb27_Enabled">
    <vt:lpwstr>true</vt:lpwstr>
  </property>
  <property fmtid="{D5CDD505-2E9C-101B-9397-08002B2CF9AE}" pid="3" name="MSIP_Label_fa42909d-86b6-4ee5-84df-83c726b5cb27_SetDate">
    <vt:lpwstr>2025-07-01T07:22:49Z</vt:lpwstr>
  </property>
  <property fmtid="{D5CDD505-2E9C-101B-9397-08002B2CF9AE}" pid="4" name="MSIP_Label_fa42909d-86b6-4ee5-84df-83c726b5cb27_Method">
    <vt:lpwstr>Standard</vt:lpwstr>
  </property>
  <property fmtid="{D5CDD505-2E9C-101B-9397-08002B2CF9AE}" pid="5" name="MSIP_Label_fa42909d-86b6-4ee5-84df-83c726b5cb27_Name">
    <vt:lpwstr>C1 - Données internes</vt:lpwstr>
  </property>
  <property fmtid="{D5CDD505-2E9C-101B-9397-08002B2CF9AE}" pid="6" name="MSIP_Label_fa42909d-86b6-4ee5-84df-83c726b5cb27_SiteId">
    <vt:lpwstr>4bd98bac-7b51-472d-8396-489ca55c12c4</vt:lpwstr>
  </property>
  <property fmtid="{D5CDD505-2E9C-101B-9397-08002B2CF9AE}" pid="7" name="MSIP_Label_fa42909d-86b6-4ee5-84df-83c726b5cb27_ActionId">
    <vt:lpwstr>ce8d9333-7b7c-4784-acca-3ec6e2713474</vt:lpwstr>
  </property>
  <property fmtid="{D5CDD505-2E9C-101B-9397-08002B2CF9AE}" pid="8" name="MSIP_Label_fa42909d-86b6-4ee5-84df-83c726b5cb27_ContentBits">
    <vt:lpwstr>2</vt:lpwstr>
  </property>
  <property fmtid="{D5CDD505-2E9C-101B-9397-08002B2CF9AE}" pid="9" name="MSIP_Label_fa42909d-86b6-4ee5-84df-83c726b5cb27_Tag">
    <vt:lpwstr>10, 3, 0, 1</vt:lpwstr>
  </property>
</Properties>
</file>